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Y:\AAA TABLERO DEUDA\NUEVO TABLERO\ACH\Informe trimestral de deuda\2025 - 03\"/>
    </mc:Choice>
  </mc:AlternateContent>
  <xr:revisionPtr revIDLastSave="0" documentId="13_ncr:1_{BDF8E067-3369-4B71-8C92-14982D289512}" xr6:coauthVersionLast="47" xr6:coauthVersionMax="47" xr10:uidLastSave="{00000000-0000-0000-0000-000000000000}"/>
  <bookViews>
    <workbookView xWindow="20280" yWindow="-120" windowWidth="24240" windowHeight="13020" tabRatio="885" xr2:uid="{00000000-000D-0000-FFFF-FFFF00000000}"/>
  </bookViews>
  <sheets>
    <sheet name="Servicios Deuda Anual" sheetId="4" r:id="rId1"/>
    <sheet name="Perfil Int Mensual" sheetId="3" r:id="rId2"/>
    <sheet name="Perfil Amort Mensual" sheetId="2" r:id="rId3"/>
    <sheet name="Gráficos" sheetId="13" r:id="rId4"/>
    <sheet name="Gráficos_2" sheetId="9" state="hidden" r:id="rId5"/>
    <sheet name="Ratios 2025" sheetId="5" r:id="rId6"/>
    <sheet name="Avales" sheetId="12" r:id="rId7"/>
    <sheet name="Evolución Deuda Total" sheetId="6" r:id="rId8"/>
    <sheet name="Base Graf" sheetId="7" state="hidden" r:id="rId9"/>
    <sheet name="IPC" sheetId="10" state="hidden" r:id="rId10"/>
    <sheet name="PBG" sheetId="11" state="hidden" r:id="rId11"/>
  </sheets>
  <externalReferences>
    <externalReference r:id="rId12"/>
  </externalReferences>
  <definedNames>
    <definedName name="_Fill" localSheetId="7" hidden="1">#REF!</definedName>
    <definedName name="_Fill" localSheetId="1" hidden="1">#REF!</definedName>
    <definedName name="_Fill" localSheetId="5" hidden="1">#REF!</definedName>
    <definedName name="_Fill" hidden="1">#REF!</definedName>
    <definedName name="_xlnm._FilterDatabase" localSheetId="0" hidden="1">'Servicios Deuda Anual'!$C$1:$D$140</definedName>
    <definedName name="_Key1" localSheetId="7" hidden="1">#REF!</definedName>
    <definedName name="_Key1" localSheetId="1" hidden="1">#REF!</definedName>
    <definedName name="_Key1" localSheetId="5" hidden="1">#REF!</definedName>
    <definedName name="_Key1" hidden="1">#REF!</definedName>
    <definedName name="_Order1" hidden="1">255</definedName>
    <definedName name="_Parse_In" localSheetId="7" hidden="1">#REF!</definedName>
    <definedName name="_Parse_In" localSheetId="1" hidden="1">#REF!</definedName>
    <definedName name="_Parse_In" localSheetId="5" hidden="1">#REF!</definedName>
    <definedName name="_Parse_In" hidden="1">#REF!</definedName>
    <definedName name="_Parse_Out" localSheetId="7" hidden="1">#REF!</definedName>
    <definedName name="_Parse_Out" localSheetId="1" hidden="1">#REF!</definedName>
    <definedName name="_Parse_Out" localSheetId="5" hidden="1">#REF!</definedName>
    <definedName name="_Parse_Out" hidden="1">#REF!</definedName>
    <definedName name="_Sort" localSheetId="7" hidden="1">#REF!</definedName>
    <definedName name="_Sort" localSheetId="1" hidden="1">#REF!</definedName>
    <definedName name="_Sort" localSheetId="5" hidden="1">#REF!</definedName>
    <definedName name="_Sort" hidden="1">#REF!</definedName>
    <definedName name="Acreedor_pesos">'Base Graf'!$BN$148:$BN$164</definedName>
    <definedName name="Acreedor_USD">'Base Graf'!$BN$167:$BN$183</definedName>
    <definedName name="Acreedor_UVA">'Base Graf'!$BN$186:$BN$202</definedName>
    <definedName name="ACwvu.PLA1." localSheetId="7" hidden="1">'[1]COP FED'!#REF!</definedName>
    <definedName name="ACwvu.PLA1." localSheetId="1" hidden="1">'[1]COP FED'!#REF!</definedName>
    <definedName name="ACwvu.PLA1." localSheetId="5" hidden="1">'[1]COP FED'!#REF!</definedName>
    <definedName name="ACwvu.PLA1." hidden="1">'[1]COP FED'!#REF!</definedName>
    <definedName name="ACwvu.PLA2." hidden="1">'[1]COP FED'!$A$1:$N$49</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grafacreedor">CHOOSE(Gráficos_2!$K$64,Acreedor_pesos,Acreedor_USD,Acreedor_UVA)</definedName>
    <definedName name="grafcomp">CHOOSE(Gráficos_2!$K$6,Por_tasa_int,Por_moneda)</definedName>
    <definedName name="grafserv">CHOOSE(Gráficos_2!$K$44,Servicio_pesos,Servicio_USD,Servicio_UVA)</definedName>
    <definedName name="grafvto">CHOOSE(Gráficos_2!$K$25,Vto_en_pesos,Vto_en_USD,Vto_en_UVA)</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nu" localSheetId="7" hidden="1">'[1]COP FED'!#REF!</definedName>
    <definedName name="nu" localSheetId="1" hidden="1">'[1]COP FED'!#REF!</definedName>
    <definedName name="nu" localSheetId="5" hidden="1">'[1]COP FED'!#REF!</definedName>
    <definedName name="nu" hidden="1">'[1]COP FED'!#REF!</definedName>
    <definedName name="Por_moneda">'Base Graf'!$BN$20:$BN$36</definedName>
    <definedName name="Por_tasa_int">'Base Graf'!$BN$3:$BN$18</definedName>
    <definedName name="Rwvu.PLA2." localSheetId="7" hidden="1">'[1]COP FED'!#REF!</definedName>
    <definedName name="Rwvu.PLA2." localSheetId="1" hidden="1">'[1]COP FED'!#REF!</definedName>
    <definedName name="Rwvu.PLA2." localSheetId="5" hidden="1">'[1]COP FED'!#REF!</definedName>
    <definedName name="Rwvu.PLA2." hidden="1">'[1]COP FED'!#REF!</definedName>
    <definedName name="Servicio_pesos">'Base Graf'!$BN$93:$BN$109</definedName>
    <definedName name="Servicio_USD">'Base Graf'!$BN$111:$BN$127</definedName>
    <definedName name="Servicio_UVA">'Base Graf'!$BN$130:$BN$146</definedName>
    <definedName name="Swvu.PLA1." localSheetId="7" hidden="1">'[1]COP FED'!#REF!</definedName>
    <definedName name="Swvu.PLA1." localSheetId="1" hidden="1">'[1]COP FED'!#REF!</definedName>
    <definedName name="Swvu.PLA1." localSheetId="5" hidden="1">'[1]COP FED'!#REF!</definedName>
    <definedName name="Swvu.PLA1." hidden="1">'[1]COP FED'!#REF!</definedName>
    <definedName name="Swvu.PLA2." hidden="1">'[1]COP FED'!$A$1:$N$49</definedName>
    <definedName name="Vto_en_pesos">'Base Graf'!$BN$39:$BN$55</definedName>
    <definedName name="Vto_en_USD">'Base Graf'!$BN$57:$BN$73</definedName>
    <definedName name="Vto_en_UVA">'Base Graf'!$BN$75:$BN$91</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4" i="7" l="1"/>
  <c r="M3" i="10"/>
  <c r="M4" i="10"/>
  <c r="M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G47" i="10"/>
  <c r="E136" i="10"/>
  <c r="E137" i="10" s="1"/>
  <c r="E138" i="10" s="1"/>
  <c r="A136" i="10"/>
  <c r="A137" i="10" s="1"/>
  <c r="A138" i="10" s="1"/>
  <c r="J25" i="7"/>
  <c r="K25" i="7"/>
  <c r="L25" i="7"/>
  <c r="M25" i="7"/>
  <c r="N25" i="7"/>
  <c r="O25" i="7"/>
  <c r="P25" i="7"/>
  <c r="Q25" i="7"/>
  <c r="R25" i="7"/>
  <c r="S25" i="7"/>
  <c r="T25" i="7"/>
  <c r="U25" i="7"/>
  <c r="V25" i="7"/>
  <c r="J26" i="7"/>
  <c r="K26" i="7"/>
  <c r="L26" i="7"/>
  <c r="M26" i="7"/>
  <c r="N26" i="7"/>
  <c r="O26" i="7"/>
  <c r="P26" i="7"/>
  <c r="Q26" i="7"/>
  <c r="R26" i="7"/>
  <c r="S26" i="7"/>
  <c r="T26" i="7"/>
  <c r="U26" i="7"/>
  <c r="V26" i="7"/>
  <c r="I26" i="7"/>
  <c r="H25" i="7"/>
  <c r="I25" i="7"/>
  <c r="H26" i="7"/>
  <c r="G26" i="7"/>
  <c r="G25" i="7"/>
  <c r="G109" i="4" l="1"/>
  <c r="I109" i="4"/>
  <c r="K109" i="4"/>
  <c r="M109" i="4"/>
  <c r="O109" i="4"/>
  <c r="P109" i="4"/>
  <c r="Q109" i="4"/>
  <c r="G65" i="4"/>
  <c r="I65" i="4"/>
  <c r="K65" i="4"/>
  <c r="M65" i="4"/>
  <c r="O65" i="4"/>
  <c r="P65" i="4"/>
  <c r="Q65" i="4"/>
  <c r="Q35" i="4" l="1"/>
  <c r="S35" i="4"/>
  <c r="U35" i="4"/>
  <c r="W35" i="4"/>
  <c r="Y35" i="4"/>
  <c r="AA35" i="4"/>
  <c r="Q36" i="4"/>
  <c r="S36" i="4"/>
  <c r="U36" i="4"/>
  <c r="W36" i="4"/>
  <c r="Y36" i="4"/>
  <c r="AA36" i="4"/>
  <c r="T36" i="4" l="1"/>
  <c r="V36" i="4"/>
  <c r="Z36" i="4"/>
  <c r="X36" i="4"/>
  <c r="S6" i="3" l="1"/>
  <c r="T6" i="3" s="1"/>
  <c r="U6" i="3" s="1"/>
  <c r="V6" i="3" s="1"/>
  <c r="W6" i="3" s="1"/>
  <c r="X6" i="3" s="1"/>
  <c r="Y6" i="3" s="1"/>
  <c r="Z6" i="3" s="1"/>
  <c r="AA6" i="3" s="1"/>
  <c r="AB6" i="3" s="1"/>
  <c r="AC6" i="3" s="1"/>
  <c r="S31" i="2"/>
  <c r="T31" i="2" s="1"/>
  <c r="U31" i="2" s="1"/>
  <c r="V31" i="2" s="1"/>
  <c r="W31" i="2" s="1"/>
  <c r="X31" i="2" s="1"/>
  <c r="Y31" i="2" s="1"/>
  <c r="Z31" i="2" s="1"/>
  <c r="AA31" i="2" s="1"/>
  <c r="AB31" i="2" s="1"/>
  <c r="AC31" i="2" s="1"/>
  <c r="AA15" i="4" l="1"/>
  <c r="Z15" i="4"/>
  <c r="Y15" i="4"/>
  <c r="W15" i="4"/>
  <c r="U15" i="4"/>
  <c r="S15" i="4"/>
  <c r="Q15" i="4"/>
  <c r="X15" i="4" l="1"/>
  <c r="S6" i="2"/>
  <c r="T6" i="2" s="1"/>
  <c r="U6" i="2" s="1"/>
  <c r="V6" i="2" s="1"/>
  <c r="W6" i="2" s="1"/>
  <c r="X6" i="2" s="1"/>
  <c r="Y6" i="2" s="1"/>
  <c r="Z6" i="2" s="1"/>
  <c r="AA6" i="2" s="1"/>
  <c r="AB6" i="2" s="1"/>
  <c r="AC6" i="2" s="1"/>
  <c r="G31" i="2"/>
  <c r="H31" i="2" s="1"/>
  <c r="I31" i="2" s="1"/>
  <c r="J31" i="2" s="1"/>
  <c r="K31" i="2" s="1"/>
  <c r="L31" i="2" s="1"/>
  <c r="M31" i="2" s="1"/>
  <c r="N31" i="2" s="1"/>
  <c r="O31" i="2" s="1"/>
  <c r="P31" i="2" s="1"/>
  <c r="Q31" i="2" s="1"/>
  <c r="G6" i="2"/>
  <c r="H6" i="2" s="1"/>
  <c r="I6" i="2" s="1"/>
  <c r="J6" i="2" s="1"/>
  <c r="K6" i="2" s="1"/>
  <c r="L6" i="2" s="1"/>
  <c r="M6" i="2" s="1"/>
  <c r="N6" i="2" s="1"/>
  <c r="O6" i="2" s="1"/>
  <c r="P6" i="2" s="1"/>
  <c r="Q6" i="2" s="1"/>
  <c r="S31" i="3"/>
  <c r="T31" i="3" s="1"/>
  <c r="U31" i="3" s="1"/>
  <c r="V31" i="3" s="1"/>
  <c r="W31" i="3" s="1"/>
  <c r="X31" i="3" s="1"/>
  <c r="Y31" i="3" s="1"/>
  <c r="Z31" i="3" s="1"/>
  <c r="AA31" i="3" s="1"/>
  <c r="AB31" i="3" s="1"/>
  <c r="AC31" i="3" s="1"/>
  <c r="H113" i="4" l="1"/>
  <c r="AR24" i="7" l="1"/>
  <c r="Q10" i="4" l="1"/>
  <c r="S10" i="4"/>
  <c r="U10" i="4"/>
  <c r="W10" i="4"/>
  <c r="Y10" i="4"/>
  <c r="AA10" i="4"/>
  <c r="Q12" i="4"/>
  <c r="S12" i="4"/>
  <c r="U12" i="4"/>
  <c r="W12" i="4"/>
  <c r="Y12" i="4"/>
  <c r="Z12" i="4"/>
  <c r="AA12" i="4"/>
  <c r="D61" i="4"/>
  <c r="C5" i="5" l="1"/>
  <c r="AA38" i="4" l="1"/>
  <c r="Z38" i="4"/>
  <c r="Y38" i="4"/>
  <c r="W38" i="4"/>
  <c r="U38" i="4"/>
  <c r="S38" i="4"/>
  <c r="Q38" i="4"/>
  <c r="AA37" i="4"/>
  <c r="Z37" i="4"/>
  <c r="Y37" i="4"/>
  <c r="W37" i="4"/>
  <c r="U37" i="4"/>
  <c r="S37" i="4"/>
  <c r="Q37" i="4"/>
  <c r="AO6" i="6" l="1"/>
  <c r="BG96" i="7"/>
  <c r="BG97" i="7" s="1"/>
  <c r="BG98" i="7" s="1"/>
  <c r="BG99" i="7" s="1"/>
  <c r="BG100" i="7" s="1"/>
  <c r="BG101" i="7" s="1"/>
  <c r="BI59" i="7"/>
  <c r="BI60" i="7" s="1"/>
  <c r="BI61" i="7" s="1"/>
  <c r="BI62" i="7" s="1"/>
  <c r="BI63" i="7" s="1"/>
  <c r="BI64" i="7" s="1"/>
  <c r="AQ24" i="7" l="1"/>
  <c r="D121" i="10" l="1"/>
  <c r="D122" i="10"/>
  <c r="D123" i="10"/>
  <c r="AN7" i="6"/>
  <c r="AN13" i="6" l="1"/>
  <c r="AN9" i="6"/>
  <c r="AN11" i="6"/>
  <c r="G31" i="3"/>
  <c r="G6" i="3"/>
  <c r="AA42" i="4"/>
  <c r="Z42" i="4"/>
  <c r="Y42" i="4"/>
  <c r="W42" i="4"/>
  <c r="U42" i="4"/>
  <c r="S42" i="4"/>
  <c r="Q42" i="4"/>
  <c r="AA41" i="4"/>
  <c r="Z41" i="4"/>
  <c r="Y41" i="4"/>
  <c r="W41" i="4"/>
  <c r="U41" i="4"/>
  <c r="S41" i="4"/>
  <c r="Q41" i="4"/>
  <c r="AA40" i="4"/>
  <c r="Z40" i="4"/>
  <c r="Y40" i="4"/>
  <c r="W40" i="4"/>
  <c r="U40" i="4"/>
  <c r="S40" i="4"/>
  <c r="Q40" i="4"/>
  <c r="AA39" i="4"/>
  <c r="Y39" i="4"/>
  <c r="W39" i="4"/>
  <c r="U39" i="4"/>
  <c r="S39" i="4"/>
  <c r="Q39" i="4"/>
  <c r="AA34" i="4"/>
  <c r="Z34" i="4"/>
  <c r="X34" i="4"/>
  <c r="V34" i="4"/>
  <c r="T34" i="4"/>
  <c r="R34" i="4"/>
  <c r="P34" i="4"/>
  <c r="Z32" i="4"/>
  <c r="X32" i="4"/>
  <c r="V32" i="4"/>
  <c r="T32" i="4"/>
  <c r="R32" i="4"/>
  <c r="P32" i="4"/>
  <c r="Z31" i="4"/>
  <c r="X31" i="4"/>
  <c r="V31" i="4"/>
  <c r="T31" i="4"/>
  <c r="R31" i="4"/>
  <c r="P31" i="4"/>
  <c r="Z30" i="4"/>
  <c r="X30" i="4"/>
  <c r="V30" i="4"/>
  <c r="T30" i="4"/>
  <c r="R30" i="4"/>
  <c r="P30" i="4"/>
  <c r="AA28" i="4"/>
  <c r="Z28" i="4"/>
  <c r="X28" i="4"/>
  <c r="V28" i="4"/>
  <c r="T28" i="4"/>
  <c r="R28" i="4"/>
  <c r="P28" i="4"/>
  <c r="Z27" i="4"/>
  <c r="X27" i="4"/>
  <c r="V27" i="4"/>
  <c r="T27" i="4"/>
  <c r="R27" i="4"/>
  <c r="P27" i="4"/>
  <c r="Z26" i="4"/>
  <c r="X26" i="4"/>
  <c r="V26" i="4"/>
  <c r="T26" i="4"/>
  <c r="R26" i="4"/>
  <c r="P26" i="4"/>
  <c r="Z24" i="4"/>
  <c r="X24" i="4"/>
  <c r="V24" i="4"/>
  <c r="T24" i="4"/>
  <c r="R24" i="4"/>
  <c r="P24" i="4"/>
  <c r="AA25" i="4"/>
  <c r="Z25" i="4"/>
  <c r="X25" i="4"/>
  <c r="V25" i="4"/>
  <c r="T25" i="4"/>
  <c r="R25" i="4"/>
  <c r="P25" i="4"/>
  <c r="Z23" i="4"/>
  <c r="X23" i="4"/>
  <c r="V23" i="4"/>
  <c r="T23" i="4"/>
  <c r="R23" i="4"/>
  <c r="P23" i="4"/>
  <c r="Z22" i="4"/>
  <c r="X22" i="4"/>
  <c r="V22" i="4"/>
  <c r="T22" i="4"/>
  <c r="R22" i="4"/>
  <c r="P22" i="4"/>
  <c r="Z21" i="4"/>
  <c r="X21" i="4"/>
  <c r="V21" i="4"/>
  <c r="T21" i="4"/>
  <c r="R21" i="4"/>
  <c r="P21" i="4"/>
  <c r="Z20" i="4"/>
  <c r="X20" i="4"/>
  <c r="V20" i="4"/>
  <c r="T20" i="4"/>
  <c r="R20" i="4"/>
  <c r="P20" i="4"/>
  <c r="Z19" i="4"/>
  <c r="X19" i="4"/>
  <c r="V19" i="4"/>
  <c r="T19" i="4"/>
  <c r="R19" i="4"/>
  <c r="P19" i="4"/>
  <c r="AA13" i="4"/>
  <c r="Z13" i="4"/>
  <c r="Y13" i="4"/>
  <c r="W13" i="4"/>
  <c r="U13" i="4"/>
  <c r="S13" i="4"/>
  <c r="Q13" i="4"/>
  <c r="AA11" i="4"/>
  <c r="Z11" i="4"/>
  <c r="Y11" i="4"/>
  <c r="W11" i="4"/>
  <c r="U11" i="4"/>
  <c r="S11" i="4"/>
  <c r="Q11" i="4"/>
  <c r="D118" i="4"/>
  <c r="H6" i="3" l="1"/>
  <c r="H31" i="3"/>
  <c r="I6" i="3" l="1"/>
  <c r="I31" i="3"/>
  <c r="J31" i="3" l="1"/>
  <c r="J6" i="3"/>
  <c r="K31" i="3" l="1"/>
  <c r="K6" i="3"/>
  <c r="L6" i="3" l="1"/>
  <c r="L31" i="3"/>
  <c r="M6" i="3" l="1"/>
  <c r="M31" i="3"/>
  <c r="D108" i="4"/>
  <c r="D107" i="4"/>
  <c r="D106" i="4"/>
  <c r="D105" i="4"/>
  <c r="N31" i="3" l="1"/>
  <c r="N6" i="3"/>
  <c r="D74" i="4"/>
  <c r="D64" i="4"/>
  <c r="D63" i="4"/>
  <c r="D62" i="4"/>
  <c r="O31" i="3" l="1"/>
  <c r="O6" i="3"/>
  <c r="P31" i="3" l="1"/>
  <c r="P6" i="3"/>
  <c r="Q6" i="3" l="1"/>
  <c r="Q31" i="3"/>
  <c r="AP14" i="7"/>
  <c r="AP13" i="7"/>
  <c r="AP12" i="7"/>
  <c r="AP11" i="7"/>
  <c r="AP10" i="7"/>
  <c r="AP9" i="7"/>
  <c r="AP8" i="7"/>
  <c r="AO14" i="7"/>
  <c r="AO13" i="7"/>
  <c r="AO12" i="7"/>
  <c r="AO11" i="7"/>
  <c r="AO10" i="7"/>
  <c r="AO9" i="7"/>
  <c r="AO8" i="7"/>
  <c r="AM14" i="7"/>
  <c r="AM13" i="7"/>
  <c r="AM12" i="7"/>
  <c r="AM11" i="7"/>
  <c r="AM10" i="7"/>
  <c r="AM9" i="7"/>
  <c r="AM8" i="7"/>
  <c r="AF14" i="7"/>
  <c r="AF13" i="7"/>
  <c r="AF12" i="7"/>
  <c r="AF11" i="7"/>
  <c r="AF10" i="7"/>
  <c r="AF9" i="7"/>
  <c r="AF8" i="7"/>
  <c r="AC24" i="7"/>
  <c r="AC14" i="7"/>
  <c r="AC13" i="7"/>
  <c r="AC12" i="7"/>
  <c r="AC11" i="7"/>
  <c r="AC10" i="7"/>
  <c r="AC9" i="7"/>
  <c r="AC8" i="7"/>
  <c r="AD24" i="7"/>
  <c r="AE24" i="7"/>
  <c r="AF24" i="7"/>
  <c r="AH24" i="7"/>
  <c r="AI24" i="7"/>
  <c r="AJ24" i="7"/>
  <c r="AK24" i="7"/>
  <c r="AL24" i="7"/>
  <c r="AM24" i="7"/>
  <c r="AN24" i="7"/>
  <c r="AO24" i="7"/>
  <c r="AP24" i="7"/>
  <c r="K41" i="10"/>
  <c r="D120" i="10"/>
  <c r="D119" i="10"/>
  <c r="D118" i="10"/>
  <c r="L14" i="7" l="1"/>
  <c r="K14" i="7"/>
  <c r="I14" i="7"/>
  <c r="H14" i="7"/>
  <c r="AA16" i="4"/>
  <c r="AA14" i="4" s="1"/>
  <c r="Z16" i="4"/>
  <c r="Z14" i="4" s="1"/>
  <c r="Y16" i="4"/>
  <c r="Y14" i="4" s="1"/>
  <c r="W16" i="4"/>
  <c r="W14" i="4" s="1"/>
  <c r="U16" i="4"/>
  <c r="U14" i="4" s="1"/>
  <c r="S16" i="4"/>
  <c r="S14" i="4" s="1"/>
  <c r="Q16" i="4"/>
  <c r="Q14" i="4" s="1"/>
  <c r="K5" i="10" l="1"/>
  <c r="K6" i="10"/>
  <c r="K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3" i="10"/>
  <c r="K34" i="10"/>
  <c r="K35" i="10"/>
  <c r="K36" i="10"/>
  <c r="K37" i="10"/>
  <c r="K38" i="10"/>
  <c r="K39" i="10"/>
  <c r="K40" i="10"/>
  <c r="K4"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3" i="10"/>
  <c r="G4" i="10"/>
  <c r="G5" i="10" s="1"/>
  <c r="G6" i="10" s="1"/>
  <c r="G7" i="10" s="1"/>
  <c r="G8" i="10" s="1"/>
  <c r="G9" i="10" s="1"/>
  <c r="G10" i="10" s="1"/>
  <c r="G11" i="10" s="1"/>
  <c r="G12" i="10" s="1"/>
  <c r="G13" i="10" s="1"/>
  <c r="G14" i="10" s="1"/>
  <c r="G15" i="10" s="1"/>
  <c r="G16" i="10" s="1"/>
  <c r="G17" i="10" s="1"/>
  <c r="G18" i="10" s="1"/>
  <c r="G19" i="10" s="1"/>
  <c r="G20" i="10" s="1"/>
  <c r="G21" i="10" s="1"/>
  <c r="G22" i="10" s="1"/>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D5" i="10"/>
  <c r="D6" i="10"/>
  <c r="D7" i="10"/>
  <c r="D8" i="10"/>
  <c r="D9" i="10"/>
  <c r="D10" i="10"/>
  <c r="D11" i="10"/>
  <c r="D12" i="10"/>
  <c r="D13" i="10"/>
  <c r="D14" i="10"/>
  <c r="D15" i="10"/>
  <c r="D16" i="10"/>
  <c r="D17" i="10"/>
  <c r="D18" i="10"/>
  <c r="D19" i="10"/>
  <c r="D20" i="10"/>
  <c r="D21" i="10"/>
  <c r="D22" i="10"/>
  <c r="D23" i="10"/>
  <c r="D24" i="10"/>
  <c r="D25" i="10"/>
  <c r="D26" i="10"/>
  <c r="D27" i="10"/>
  <c r="D28" i="10"/>
  <c r="D29" i="10"/>
  <c r="D30" i="10"/>
  <c r="D31" i="10"/>
  <c r="D32" i="10"/>
  <c r="D33" i="10"/>
  <c r="D34" i="10"/>
  <c r="D35" i="10"/>
  <c r="D36" i="10"/>
  <c r="D37" i="10"/>
  <c r="D38" i="10"/>
  <c r="D39" i="10"/>
  <c r="D40" i="10"/>
  <c r="D41" i="10"/>
  <c r="D42" i="10"/>
  <c r="D43" i="10"/>
  <c r="D44" i="10"/>
  <c r="D45" i="10"/>
  <c r="D46" i="10"/>
  <c r="D47" i="10"/>
  <c r="D48" i="10"/>
  <c r="D49" i="10"/>
  <c r="D50" i="10"/>
  <c r="D51"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8"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D117" i="10"/>
  <c r="D4" i="10"/>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L7" i="6"/>
  <c r="E119" i="10" l="1"/>
  <c r="E120" i="10" s="1"/>
  <c r="AL9" i="6"/>
  <c r="AL13" i="6"/>
  <c r="AL11" i="6"/>
  <c r="AL3" i="11"/>
  <c r="AL6" i="11" l="1"/>
  <c r="E121" i="10"/>
  <c r="E122" i="10" s="1"/>
  <c r="E123" i="10" s="1"/>
  <c r="E124" i="10" s="1"/>
  <c r="E125" i="10" s="1"/>
  <c r="E126" i="10" s="1"/>
  <c r="E127" i="10" s="1"/>
  <c r="E128" i="10" s="1"/>
  <c r="E129" i="10" s="1"/>
  <c r="E130" i="10" s="1"/>
  <c r="E131" i="10" s="1"/>
  <c r="E132" i="10" s="1"/>
  <c r="E133" i="10" s="1"/>
  <c r="AT14" i="7"/>
  <c r="AT13" i="7"/>
  <c r="AT12" i="7"/>
  <c r="AT11" i="7"/>
  <c r="AT10" i="7"/>
  <c r="AT9" i="7"/>
  <c r="AT8" i="7"/>
  <c r="AT7" i="7"/>
  <c r="AT6" i="7"/>
  <c r="AT5" i="7"/>
  <c r="AT4" i="7"/>
  <c r="AS14" i="7"/>
  <c r="AS13" i="7"/>
  <c r="AS12" i="7"/>
  <c r="AS11" i="7"/>
  <c r="AS10" i="7"/>
  <c r="AS9" i="7"/>
  <c r="AS8" i="7"/>
  <c r="AS7" i="7"/>
  <c r="AS6" i="7"/>
  <c r="AS5" i="7"/>
  <c r="AS4" i="7"/>
  <c r="AR14" i="7"/>
  <c r="AR13" i="7"/>
  <c r="AR12" i="7"/>
  <c r="AR11" i="7"/>
  <c r="AR10" i="7"/>
  <c r="AR9" i="7"/>
  <c r="AR8" i="7"/>
  <c r="AR7" i="7"/>
  <c r="AR6" i="7"/>
  <c r="AR5" i="7"/>
  <c r="AR4" i="7"/>
  <c r="N4" i="7"/>
  <c r="T4" i="7" s="1"/>
  <c r="O4" i="7"/>
  <c r="R4" i="7" s="1"/>
  <c r="P4" i="7"/>
  <c r="V4" i="7" s="1"/>
  <c r="N5" i="7"/>
  <c r="T5" i="7" s="1"/>
  <c r="O5" i="7"/>
  <c r="U5" i="7" s="1"/>
  <c r="P5" i="7"/>
  <c r="S5" i="7" s="1"/>
  <c r="N6" i="7"/>
  <c r="Q6" i="7" s="1"/>
  <c r="O6" i="7"/>
  <c r="U6" i="7" s="1"/>
  <c r="P6" i="7"/>
  <c r="V6" i="7" s="1"/>
  <c r="P7" i="7"/>
  <c r="P8" i="7"/>
  <c r="P9" i="7"/>
  <c r="P10" i="7"/>
  <c r="P11" i="7"/>
  <c r="P12" i="7"/>
  <c r="P13" i="7"/>
  <c r="N14" i="7"/>
  <c r="T14" i="7" s="1"/>
  <c r="O14" i="7"/>
  <c r="R14" i="7" s="1"/>
  <c r="P14" i="7"/>
  <c r="AU5" i="7" l="1"/>
  <c r="E134" i="10"/>
  <c r="E135" i="10" s="1"/>
  <c r="H37" i="10"/>
  <c r="H33" i="10"/>
  <c r="H29" i="10"/>
  <c r="H25" i="10"/>
  <c r="H17" i="10"/>
  <c r="H9" i="10"/>
  <c r="H46" i="10"/>
  <c r="H40" i="10"/>
  <c r="H36" i="10"/>
  <c r="H32" i="10"/>
  <c r="H28" i="10"/>
  <c r="H24" i="10"/>
  <c r="H20" i="10"/>
  <c r="H16" i="10"/>
  <c r="H12" i="10"/>
  <c r="H8" i="10"/>
  <c r="H4" i="10"/>
  <c r="H43" i="10"/>
  <c r="H15" i="10"/>
  <c r="H7" i="10"/>
  <c r="H44" i="10"/>
  <c r="H39" i="10"/>
  <c r="H35" i="10"/>
  <c r="H31" i="10"/>
  <c r="H27" i="10"/>
  <c r="H23" i="10"/>
  <c r="H19" i="10"/>
  <c r="H11" i="10"/>
  <c r="H3" i="10"/>
  <c r="H38" i="10"/>
  <c r="I38" i="10" s="1"/>
  <c r="H34" i="10"/>
  <c r="I34" i="10" s="1"/>
  <c r="H30" i="10"/>
  <c r="I30" i="10" s="1"/>
  <c r="H26" i="10"/>
  <c r="I26" i="10" s="1"/>
  <c r="H22" i="10"/>
  <c r="H18" i="10"/>
  <c r="H14" i="10"/>
  <c r="H10" i="10"/>
  <c r="H6" i="10"/>
  <c r="H41" i="10"/>
  <c r="H45" i="10"/>
  <c r="H21" i="10"/>
  <c r="I21" i="10" s="1"/>
  <c r="H13" i="10"/>
  <c r="I13" i="10" s="1"/>
  <c r="H5" i="10"/>
  <c r="I5" i="10" s="1"/>
  <c r="H42" i="10"/>
  <c r="AU9" i="7"/>
  <c r="AU11" i="7"/>
  <c r="Q5" i="7"/>
  <c r="AU6" i="7"/>
  <c r="AU13" i="7"/>
  <c r="Q4" i="7"/>
  <c r="AU8" i="7"/>
  <c r="AU14" i="7"/>
  <c r="AU12" i="7"/>
  <c r="AU7" i="7"/>
  <c r="I24" i="10"/>
  <c r="I37" i="10"/>
  <c r="AU4" i="7"/>
  <c r="AU10" i="7"/>
  <c r="I28" i="10"/>
  <c r="T6" i="7"/>
  <c r="R6" i="7"/>
  <c r="S4" i="7"/>
  <c r="V5" i="7"/>
  <c r="U4" i="7"/>
  <c r="S6" i="7"/>
  <c r="R5" i="7"/>
  <c r="Q14" i="7"/>
  <c r="U14" i="7"/>
  <c r="Z18" i="4"/>
  <c r="X18" i="4"/>
  <c r="V18" i="4"/>
  <c r="T18" i="4"/>
  <c r="R18" i="4"/>
  <c r="P18" i="4"/>
  <c r="Z29" i="4"/>
  <c r="X29" i="4"/>
  <c r="V29" i="4"/>
  <c r="T29" i="4"/>
  <c r="R29" i="4"/>
  <c r="P29" i="4"/>
  <c r="AA33" i="4"/>
  <c r="I41" i="10" l="1"/>
  <c r="I16" i="10"/>
  <c r="I31" i="10"/>
  <c r="I10" i="10"/>
  <c r="I18" i="10"/>
  <c r="I6" i="10"/>
  <c r="I22" i="10"/>
  <c r="I23" i="10"/>
  <c r="I39" i="10"/>
  <c r="I32" i="10"/>
  <c r="I9" i="10"/>
  <c r="I33" i="10"/>
  <c r="I27" i="10"/>
  <c r="I4" i="10"/>
  <c r="I20" i="10"/>
  <c r="I36" i="10"/>
  <c r="I17" i="10"/>
  <c r="I14" i="10"/>
  <c r="I11" i="10"/>
  <c r="I7" i="10"/>
  <c r="I8" i="10"/>
  <c r="I40" i="10"/>
  <c r="I25" i="10"/>
  <c r="I19" i="10"/>
  <c r="I35" i="10"/>
  <c r="I15" i="10"/>
  <c r="I12" i="10"/>
  <c r="I29" i="10"/>
  <c r="T17" i="4"/>
  <c r="R17" i="4"/>
  <c r="V17" i="4"/>
  <c r="Z17" i="4"/>
  <c r="P17" i="4"/>
  <c r="X17" i="4"/>
  <c r="F113" i="4" l="1"/>
  <c r="J113" i="4"/>
  <c r="L113" i="4"/>
  <c r="N113" i="4"/>
  <c r="P113" i="4"/>
  <c r="F124" i="4"/>
  <c r="H124" i="4"/>
  <c r="H112" i="4" s="1"/>
  <c r="J124" i="4"/>
  <c r="L124" i="4"/>
  <c r="N124" i="4"/>
  <c r="P124" i="4"/>
  <c r="Q128" i="4"/>
  <c r="F80" i="4"/>
  <c r="H80" i="4"/>
  <c r="J80" i="4"/>
  <c r="L80" i="4"/>
  <c r="N80" i="4"/>
  <c r="P80" i="4"/>
  <c r="F69" i="4"/>
  <c r="H69" i="4"/>
  <c r="J69" i="4"/>
  <c r="L69" i="4"/>
  <c r="N69" i="4"/>
  <c r="P69" i="4"/>
  <c r="Q84" i="4"/>
  <c r="P68" i="4" l="1"/>
  <c r="L68" i="4"/>
  <c r="F68" i="4"/>
  <c r="N68" i="4"/>
  <c r="J68" i="4"/>
  <c r="H68" i="4"/>
  <c r="P112" i="4"/>
  <c r="L112" i="4"/>
  <c r="N112" i="4"/>
  <c r="J112" i="4"/>
  <c r="F112" i="4"/>
  <c r="O104" i="4" l="1"/>
  <c r="K104" i="4"/>
  <c r="G104" i="4"/>
  <c r="M104" i="4"/>
  <c r="I104" i="4"/>
  <c r="Q104" i="4"/>
  <c r="Q60" i="4"/>
  <c r="O60" i="4"/>
  <c r="Y9" i="4" s="1"/>
  <c r="M60" i="4"/>
  <c r="W9" i="4" s="1"/>
  <c r="K60" i="4"/>
  <c r="U9" i="4" s="1"/>
  <c r="I60" i="4"/>
  <c r="S9" i="4" s="1"/>
  <c r="G60" i="4"/>
  <c r="Q9" i="4" s="1"/>
  <c r="AA9" i="4" l="1"/>
  <c r="D79" i="4" l="1"/>
  <c r="AI12" i="6" l="1"/>
  <c r="D67" i="4" l="1"/>
  <c r="D111" i="4" l="1"/>
  <c r="AG7" i="6" l="1"/>
  <c r="AF7" i="6"/>
  <c r="AE7" i="6"/>
  <c r="AD7" i="6"/>
  <c r="AC7" i="6"/>
  <c r="AB7" i="6"/>
  <c r="AA7" i="6"/>
  <c r="Z7" i="6"/>
  <c r="Y7" i="6"/>
  <c r="X7" i="6"/>
  <c r="W7" i="6"/>
  <c r="V7" i="6"/>
  <c r="U7" i="6"/>
  <c r="T7" i="6"/>
  <c r="S7" i="6"/>
  <c r="R7" i="6"/>
  <c r="Q7" i="6"/>
  <c r="P7" i="6"/>
  <c r="O7" i="6"/>
  <c r="N7" i="6"/>
  <c r="M7" i="6"/>
  <c r="L7" i="6"/>
  <c r="K7" i="6"/>
  <c r="J7" i="6"/>
  <c r="I7" i="6"/>
  <c r="H7" i="6"/>
  <c r="G7" i="6"/>
  <c r="F7" i="6"/>
  <c r="E7" i="6"/>
  <c r="D7" i="6"/>
  <c r="C7" i="6"/>
  <c r="B7" i="6"/>
  <c r="I13" i="6" l="1"/>
  <c r="U13" i="6"/>
  <c r="AG13" i="6"/>
  <c r="J13" i="6"/>
  <c r="V13" i="6"/>
  <c r="K13" i="6"/>
  <c r="W13" i="6"/>
  <c r="F13" i="6"/>
  <c r="R13" i="6"/>
  <c r="M13" i="6"/>
  <c r="AE13" i="6"/>
  <c r="C13" i="6"/>
  <c r="O13" i="6"/>
  <c r="AA13" i="6"/>
  <c r="D13" i="6"/>
  <c r="P13" i="6"/>
  <c r="AB13" i="6"/>
  <c r="E13" i="6"/>
  <c r="Q13" i="6"/>
  <c r="AC13" i="6"/>
  <c r="L13" i="6"/>
  <c r="X13" i="6"/>
  <c r="AD13" i="6"/>
  <c r="G13" i="6"/>
  <c r="S13" i="6"/>
  <c r="Y13" i="6"/>
  <c r="B13" i="6"/>
  <c r="H13" i="6"/>
  <c r="N13" i="6"/>
  <c r="T13" i="6"/>
  <c r="Z13" i="6"/>
  <c r="AF13" i="6"/>
  <c r="B9" i="6"/>
  <c r="F9" i="6"/>
  <c r="J9" i="6"/>
  <c r="N9" i="6"/>
  <c r="R9" i="6"/>
  <c r="V9" i="6"/>
  <c r="Z9" i="6"/>
  <c r="AD9" i="6"/>
  <c r="B11" i="6"/>
  <c r="F11" i="6"/>
  <c r="J11" i="6"/>
  <c r="N11" i="6"/>
  <c r="R11" i="6"/>
  <c r="V11" i="6"/>
  <c r="Z11" i="6"/>
  <c r="AD11" i="6"/>
  <c r="C9" i="6"/>
  <c r="G9" i="6"/>
  <c r="K9" i="6"/>
  <c r="O9" i="6"/>
  <c r="S9" i="6"/>
  <c r="W9" i="6"/>
  <c r="AA9" i="6"/>
  <c r="AE9" i="6"/>
  <c r="C11" i="6"/>
  <c r="G11" i="6"/>
  <c r="K11" i="6"/>
  <c r="O11" i="6"/>
  <c r="S11" i="6"/>
  <c r="W11" i="6"/>
  <c r="AA11" i="6"/>
  <c r="AE11" i="6"/>
  <c r="D9" i="6"/>
  <c r="H9" i="6"/>
  <c r="L9" i="6"/>
  <c r="P9" i="6"/>
  <c r="T9" i="6"/>
  <c r="X9" i="6"/>
  <c r="AB9" i="6"/>
  <c r="AF9" i="6"/>
  <c r="D11" i="6"/>
  <c r="H11" i="6"/>
  <c r="L11" i="6"/>
  <c r="P11" i="6"/>
  <c r="T11" i="6"/>
  <c r="X11" i="6"/>
  <c r="AB11" i="6"/>
  <c r="AF11" i="6"/>
  <c r="E9" i="6"/>
  <c r="I9" i="6"/>
  <c r="M9" i="6"/>
  <c r="Q9" i="6"/>
  <c r="U9" i="6"/>
  <c r="Y9" i="6"/>
  <c r="AC9" i="6"/>
  <c r="AG9" i="6"/>
  <c r="E11" i="6"/>
  <c r="I11" i="6"/>
  <c r="M11" i="6"/>
  <c r="Q11" i="6"/>
  <c r="U11" i="6"/>
  <c r="Y11" i="6"/>
  <c r="AC11" i="6"/>
  <c r="AG11" i="6"/>
  <c r="AE3" i="11"/>
  <c r="T3" i="11"/>
  <c r="L3" i="11"/>
  <c r="AD3" i="11"/>
  <c r="O3" i="11"/>
  <c r="Z3" i="11"/>
  <c r="AG3" i="11"/>
  <c r="K3" i="11"/>
  <c r="S3" i="11"/>
  <c r="G3" i="11"/>
  <c r="Y3" i="11"/>
  <c r="D3" i="11"/>
  <c r="H3" i="11"/>
  <c r="P3" i="11"/>
  <c r="U3" i="11"/>
  <c r="C3" i="11"/>
  <c r="M3" i="11"/>
  <c r="AB3" i="11"/>
  <c r="E3" i="11"/>
  <c r="B3" i="11"/>
  <c r="F3" i="11"/>
  <c r="N3" i="11"/>
  <c r="AF3" i="11"/>
  <c r="W3" i="11"/>
  <c r="AA3" i="11"/>
  <c r="AC3" i="11"/>
  <c r="V3" i="11"/>
  <c r="J3" i="11"/>
  <c r="X3" i="11"/>
  <c r="R3" i="11"/>
  <c r="I3" i="11"/>
  <c r="Q3" i="11"/>
  <c r="T6" i="11" l="1"/>
  <c r="G6" i="11"/>
  <c r="X6" i="11"/>
  <c r="E6" i="11"/>
  <c r="P6" i="11"/>
  <c r="AA6" i="11"/>
  <c r="C6" i="11"/>
  <c r="M6" i="11"/>
  <c r="K6" i="11"/>
  <c r="J6" i="11"/>
  <c r="U6" i="11"/>
  <c r="AF6" i="11"/>
  <c r="H6" i="11"/>
  <c r="Y6" i="11"/>
  <c r="AC6" i="11"/>
  <c r="F6" i="11"/>
  <c r="Z6" i="11"/>
  <c r="B6" i="11"/>
  <c r="S6" i="11"/>
  <c r="L6" i="11"/>
  <c r="Q6" i="11"/>
  <c r="AB6" i="11"/>
  <c r="D6" i="11"/>
  <c r="AE6" i="11"/>
  <c r="R6" i="11"/>
  <c r="W6" i="11"/>
  <c r="V6" i="11"/>
  <c r="AG6" i="11"/>
  <c r="I6" i="11"/>
  <c r="N6" i="11"/>
  <c r="AD6" i="11"/>
  <c r="O6" i="11"/>
  <c r="C17" i="5" l="1"/>
  <c r="C14" i="5"/>
  <c r="C11" i="5"/>
  <c r="C8" i="5"/>
  <c r="D129" i="4" l="1"/>
  <c r="D85" i="4"/>
  <c r="D125" i="4"/>
  <c r="D81" i="4"/>
  <c r="D116" i="4"/>
  <c r="D72" i="4"/>
  <c r="D122" i="4"/>
  <c r="D78" i="4"/>
  <c r="D114" i="4"/>
  <c r="D70" i="4"/>
  <c r="D123" i="4"/>
  <c r="D117" i="4"/>
  <c r="D73" i="4"/>
  <c r="D115" i="4"/>
  <c r="D71" i="4"/>
  <c r="AB5" i="7" l="1"/>
  <c r="AB6" i="7" s="1"/>
  <c r="AB7" i="7" s="1"/>
  <c r="AB8" i="7" s="1"/>
  <c r="AB9" i="7" s="1"/>
  <c r="AB10" i="7" s="1"/>
  <c r="AB11" i="7" s="1"/>
  <c r="AB12" i="7" s="1"/>
  <c r="AB13" i="7" s="1"/>
  <c r="G5" i="7"/>
  <c r="A5" i="7"/>
  <c r="G6" i="7" l="1"/>
  <c r="A6" i="7"/>
  <c r="G7" i="7" l="1"/>
  <c r="A7" i="7"/>
  <c r="G8" i="7" l="1"/>
  <c r="H8" i="7" s="1"/>
  <c r="A8" i="7"/>
  <c r="N7" i="7" l="1"/>
  <c r="T7" i="7" s="1"/>
  <c r="O7" i="7"/>
  <c r="U7" i="7" s="1"/>
  <c r="K8" i="7"/>
  <c r="L8" i="7"/>
  <c r="I8" i="7"/>
  <c r="G9" i="7"/>
  <c r="A9" i="7"/>
  <c r="R7" i="7" l="1"/>
  <c r="Q7" i="7"/>
  <c r="N8" i="7"/>
  <c r="T8" i="7" s="1"/>
  <c r="O8" i="7"/>
  <c r="U8" i="7" s="1"/>
  <c r="K9" i="7"/>
  <c r="I9" i="7"/>
  <c r="H9" i="7"/>
  <c r="L9" i="7"/>
  <c r="G10" i="7"/>
  <c r="A10" i="7"/>
  <c r="H10" i="7" l="1"/>
  <c r="K10" i="7"/>
  <c r="Q8" i="7"/>
  <c r="R8" i="7"/>
  <c r="O9" i="7"/>
  <c r="R9" i="7" s="1"/>
  <c r="L10" i="7"/>
  <c r="I10" i="7"/>
  <c r="N9" i="7"/>
  <c r="T9" i="7" s="1"/>
  <c r="G11" i="7"/>
  <c r="A11" i="7"/>
  <c r="U9" i="7" l="1"/>
  <c r="N10" i="7"/>
  <c r="T10" i="7" s="1"/>
  <c r="O10" i="7"/>
  <c r="R10" i="7" s="1"/>
  <c r="Q9" i="7"/>
  <c r="L11" i="7"/>
  <c r="K11" i="7"/>
  <c r="I11" i="7"/>
  <c r="H11" i="7"/>
  <c r="G12" i="7"/>
  <c r="K12" i="7" s="1"/>
  <c r="A12" i="7"/>
  <c r="Q10" i="7" l="1"/>
  <c r="U10" i="7"/>
  <c r="O11" i="7"/>
  <c r="U11" i="7" s="1"/>
  <c r="L12" i="7"/>
  <c r="I12" i="7"/>
  <c r="H12" i="7"/>
  <c r="N11" i="7"/>
  <c r="T11" i="7" s="1"/>
  <c r="G13" i="7"/>
  <c r="A13" i="7"/>
  <c r="R11" i="7" l="1"/>
  <c r="N12" i="7"/>
  <c r="T12" i="7" s="1"/>
  <c r="O12" i="7"/>
  <c r="U12" i="7" s="1"/>
  <c r="K13" i="7"/>
  <c r="I13" i="7"/>
  <c r="H13" i="7"/>
  <c r="L13" i="7"/>
  <c r="Q11" i="7"/>
  <c r="Q12" i="7" l="1"/>
  <c r="R12" i="7"/>
  <c r="O13" i="7"/>
  <c r="U13" i="7" s="1"/>
  <c r="N13" i="7"/>
  <c r="T13" i="7" s="1"/>
  <c r="R13" i="7" l="1"/>
  <c r="Q13" i="7"/>
  <c r="AH7" i="6" l="1"/>
  <c r="AH3" i="11"/>
  <c r="AH6" i="11" l="1"/>
  <c r="AH9" i="6"/>
  <c r="AH13" i="6"/>
  <c r="AH11" i="6"/>
  <c r="AI7" i="6" l="1"/>
  <c r="AI3" i="11"/>
  <c r="AI6" i="11" l="1"/>
  <c r="AI9" i="6"/>
  <c r="AI13" i="6"/>
  <c r="AI11" i="6"/>
  <c r="AJ7" i="6" l="1"/>
  <c r="AJ3" i="11"/>
  <c r="AJ6" i="11" l="1"/>
  <c r="AJ13" i="6"/>
  <c r="AJ11" i="6"/>
  <c r="AJ9" i="6"/>
  <c r="AK7" i="6" l="1"/>
  <c r="AK3" i="11"/>
  <c r="AK6" i="11" l="1"/>
  <c r="AK13" i="6"/>
  <c r="AK11" i="6"/>
  <c r="AK9" i="6"/>
  <c r="AO7" i="6" l="1"/>
  <c r="AN3" i="11"/>
  <c r="AN6" i="11" l="1"/>
  <c r="AO13" i="6"/>
  <c r="AP7" i="6"/>
  <c r="AP9" i="6" s="1"/>
  <c r="AP11" i="6"/>
  <c r="AO11" i="6"/>
  <c r="AO9" i="6"/>
  <c r="AM7" i="6"/>
  <c r="AO3" i="11"/>
  <c r="AO6" i="11" l="1"/>
  <c r="AP13" i="6"/>
  <c r="AM13" i="6"/>
  <c r="AM9" i="6"/>
  <c r="AM11" i="6"/>
  <c r="AM3" i="11"/>
  <c r="AM6" i="11" l="1"/>
  <c r="AA19" i="4" l="1"/>
  <c r="AA30" i="4" l="1"/>
  <c r="AQ7" i="6" l="1"/>
  <c r="AQ13" i="6" l="1"/>
  <c r="AQ11" i="6"/>
  <c r="AQ9" i="6"/>
  <c r="AR7" i="6" l="1"/>
  <c r="AR13" i="6" l="1"/>
  <c r="AR9" i="6"/>
  <c r="AR11" i="6"/>
  <c r="AS7" i="6" l="1"/>
  <c r="AS9" i="6" l="1"/>
  <c r="AS13" i="6"/>
  <c r="P128" i="4" l="1"/>
  <c r="Z39" i="4" l="1"/>
  <c r="AS11" i="6" l="1"/>
  <c r="AT10" i="6" l="1"/>
  <c r="F35" i="4"/>
  <c r="F36" i="4"/>
  <c r="F15" i="4"/>
  <c r="BK5" i="7" l="1"/>
  <c r="F38" i="4" l="1"/>
  <c r="F37" i="4" l="1"/>
  <c r="F28" i="4" l="1"/>
  <c r="Y28" i="4" l="1"/>
  <c r="U28" i="4"/>
  <c r="S28" i="4"/>
  <c r="Q28" i="4"/>
  <c r="W28" i="4"/>
  <c r="F27" i="4" l="1"/>
  <c r="S27" i="4" l="1"/>
  <c r="Y27" i="4" l="1"/>
  <c r="W27" i="4"/>
  <c r="U27" i="4"/>
  <c r="Q27" i="4"/>
  <c r="F34" i="4" l="1"/>
  <c r="BG5" i="7" l="1"/>
  <c r="K128" i="4" l="1"/>
  <c r="G128" i="4"/>
  <c r="I128" i="4"/>
  <c r="O128" i="4"/>
  <c r="M128" i="4"/>
  <c r="W34" i="4" l="1"/>
  <c r="W33" i="4" s="1"/>
  <c r="M84" i="4"/>
  <c r="I84" i="4"/>
  <c r="S34" i="4"/>
  <c r="S33" i="4" s="1"/>
  <c r="G84" i="4"/>
  <c r="Q34" i="4"/>
  <c r="Q33" i="4" s="1"/>
  <c r="K84" i="4"/>
  <c r="U34" i="4"/>
  <c r="U33" i="4" s="1"/>
  <c r="Y34" i="4"/>
  <c r="Y33" i="4" s="1"/>
  <c r="O84" i="4"/>
  <c r="F24" i="4" l="1"/>
  <c r="F20" i="4" l="1"/>
  <c r="Q24" i="4" l="1"/>
  <c r="S24" i="4"/>
  <c r="AA26" i="4"/>
  <c r="Y24" i="4"/>
  <c r="U24" i="4"/>
  <c r="W24" i="4"/>
  <c r="S20" i="4" l="1"/>
  <c r="Q20" i="4"/>
  <c r="Y20" i="4"/>
  <c r="W20" i="4"/>
  <c r="U20" i="4"/>
  <c r="AA23" i="4"/>
  <c r="F21" i="4" l="1"/>
  <c r="Q21" i="4" l="1"/>
  <c r="U21" i="4"/>
  <c r="Y21" i="4"/>
  <c r="S21" i="4"/>
  <c r="W21" i="4"/>
  <c r="AA22" i="4"/>
  <c r="V35" i="4" l="1"/>
  <c r="P35" i="4"/>
  <c r="T35" i="4"/>
  <c r="R35" i="4"/>
  <c r="X35" i="4"/>
  <c r="R36" i="4"/>
  <c r="Z35" i="4" l="1"/>
  <c r="Z33" i="4" s="1"/>
  <c r="P84" i="4"/>
  <c r="V15" i="4"/>
  <c r="T15" i="4"/>
  <c r="R15" i="4" l="1"/>
  <c r="P15" i="4"/>
  <c r="F19" i="4" l="1"/>
  <c r="F25" i="4" l="1"/>
  <c r="U25" i="4" l="1"/>
  <c r="AA24" i="4"/>
  <c r="S25" i="4"/>
  <c r="Y25" i="4"/>
  <c r="Q25" i="4"/>
  <c r="W25" i="4"/>
  <c r="AA21" i="4" l="1"/>
  <c r="S19" i="4"/>
  <c r="W19" i="4"/>
  <c r="Q19" i="4"/>
  <c r="U19" i="4"/>
  <c r="Y19" i="4"/>
  <c r="F30" i="4" l="1"/>
  <c r="Q30" i="4" l="1"/>
  <c r="U30" i="4"/>
  <c r="Y30" i="4"/>
  <c r="S30" i="4"/>
  <c r="W30" i="4"/>
  <c r="AA31" i="4"/>
  <c r="F22" i="4" l="1"/>
  <c r="S22" i="4" l="1"/>
  <c r="W22" i="4"/>
  <c r="Q22" i="4"/>
  <c r="Y22" i="4"/>
  <c r="U22" i="4"/>
  <c r="AA20" i="4" l="1"/>
  <c r="F40" i="4" l="1"/>
  <c r="F42" i="4" l="1"/>
  <c r="T42" i="4" l="1"/>
  <c r="P42" i="4" l="1"/>
  <c r="V42" i="4"/>
  <c r="X42" i="4"/>
  <c r="R42" i="4"/>
  <c r="F41" i="4" l="1"/>
  <c r="T40" i="4" l="1"/>
  <c r="X40" i="4"/>
  <c r="P40" i="4"/>
  <c r="R40" i="4"/>
  <c r="V40" i="4"/>
  <c r="P41" i="4"/>
  <c r="R41" i="4"/>
  <c r="X41" i="4"/>
  <c r="T41" i="4"/>
  <c r="V41" i="4"/>
  <c r="F39" i="4" l="1"/>
  <c r="BE5" i="7" l="1"/>
  <c r="F33" i="4"/>
  <c r="BI22" i="7" s="1"/>
  <c r="P39" i="4" l="1"/>
  <c r="V39" i="4" l="1"/>
  <c r="T39" i="4"/>
  <c r="X39" i="4"/>
  <c r="R39" i="4"/>
  <c r="F16" i="4" l="1"/>
  <c r="F14" i="4" l="1"/>
  <c r="BF22" i="7" s="1"/>
  <c r="L109" i="4" l="1"/>
  <c r="N109" i="4"/>
  <c r="H109" i="4"/>
  <c r="J109" i="4"/>
  <c r="F109" i="4"/>
  <c r="H65" i="4" l="1"/>
  <c r="R16" i="4"/>
  <c r="R14" i="4" s="1"/>
  <c r="T16" i="4"/>
  <c r="T14" i="4" s="1"/>
  <c r="J65" i="4"/>
  <c r="L65" i="4"/>
  <c r="V16" i="4"/>
  <c r="V14" i="4" s="1"/>
  <c r="F65" i="4"/>
  <c r="P16" i="4"/>
  <c r="P14" i="4" s="1"/>
  <c r="N65" i="4"/>
  <c r="X16" i="4"/>
  <c r="X14" i="4" s="1"/>
  <c r="F26" i="4" l="1"/>
  <c r="W26" i="4" l="1"/>
  <c r="U26" i="4"/>
  <c r="S26" i="4"/>
  <c r="Y26" i="4"/>
  <c r="Q113" i="4"/>
  <c r="Q26" i="4"/>
  <c r="Q69" i="4"/>
  <c r="AA27" i="4" l="1"/>
  <c r="AA18" i="4" s="1"/>
  <c r="F12" i="4" l="1"/>
  <c r="AX12" i="7" s="1"/>
  <c r="T12" i="4" l="1"/>
  <c r="V12" i="4"/>
  <c r="X12" i="4"/>
  <c r="P12" i="4"/>
  <c r="R12" i="4"/>
  <c r="F31" i="4" l="1"/>
  <c r="Q124" i="4" l="1"/>
  <c r="Q112" i="4" s="1"/>
  <c r="Q139" i="4" s="1"/>
  <c r="AA32" i="4" l="1"/>
  <c r="AA29" i="4" s="1"/>
  <c r="AA17" i="4" s="1"/>
  <c r="AA44" i="4" s="1"/>
  <c r="U31" i="4"/>
  <c r="S31" i="4"/>
  <c r="W31" i="4"/>
  <c r="Y31" i="4"/>
  <c r="Q31" i="4"/>
  <c r="Q80" i="4" l="1"/>
  <c r="Q68" i="4" s="1"/>
  <c r="Q95" i="4" s="1"/>
  <c r="F23" i="4" l="1"/>
  <c r="F18" i="4" s="1"/>
  <c r="K113" i="4" l="1"/>
  <c r="G113" i="4"/>
  <c r="M113" i="4"/>
  <c r="O113" i="4"/>
  <c r="I113" i="4"/>
  <c r="S23" i="4" l="1"/>
  <c r="S18" i="4" s="1"/>
  <c r="I69" i="4"/>
  <c r="Y23" i="4"/>
  <c r="Y18" i="4" s="1"/>
  <c r="O69" i="4"/>
  <c r="W23" i="4"/>
  <c r="W18" i="4" s="1"/>
  <c r="M69" i="4"/>
  <c r="Q23" i="4"/>
  <c r="Q18" i="4" s="1"/>
  <c r="G69" i="4"/>
  <c r="U23" i="4"/>
  <c r="U18" i="4" s="1"/>
  <c r="K69" i="4"/>
  <c r="F32" i="4" l="1"/>
  <c r="F29" i="4" s="1"/>
  <c r="F17" i="4" s="1"/>
  <c r="AY5" i="7" l="1"/>
  <c r="BH22" i="7"/>
  <c r="K48" i="2" l="1"/>
  <c r="Y48" i="2"/>
  <c r="N48" i="2"/>
  <c r="U48" i="2"/>
  <c r="T48" i="2"/>
  <c r="F48" i="2"/>
  <c r="L48" i="2"/>
  <c r="M48" i="2"/>
  <c r="H48" i="2"/>
  <c r="S48" i="2"/>
  <c r="R48" i="2"/>
  <c r="W48" i="2"/>
  <c r="AC48" i="2"/>
  <c r="G48" i="2"/>
  <c r="AB48" i="2"/>
  <c r="P48" i="2"/>
  <c r="J48" i="2"/>
  <c r="I48" i="2"/>
  <c r="Q48" i="2"/>
  <c r="X48" i="2"/>
  <c r="O48" i="2"/>
  <c r="V48" i="2"/>
  <c r="Z48" i="2"/>
  <c r="AA48" i="2"/>
  <c r="O48" i="3"/>
  <c r="F48" i="3"/>
  <c r="Y48" i="3"/>
  <c r="AA48" i="3"/>
  <c r="U48" i="3"/>
  <c r="T48" i="3"/>
  <c r="H48" i="3"/>
  <c r="W48" i="3"/>
  <c r="V48" i="3"/>
  <c r="N48" i="3"/>
  <c r="L48" i="3"/>
  <c r="P48" i="3"/>
  <c r="G48" i="3"/>
  <c r="Z48" i="3"/>
  <c r="R48" i="3"/>
  <c r="AB48" i="3"/>
  <c r="I48" i="3"/>
  <c r="K48" i="3"/>
  <c r="Q48" i="3"/>
  <c r="M48" i="3"/>
  <c r="J48" i="3"/>
  <c r="X48" i="3"/>
  <c r="S48" i="3"/>
  <c r="AC48" i="3"/>
  <c r="I124" i="4" l="1"/>
  <c r="I112" i="4" s="1"/>
  <c r="I139" i="4" s="1"/>
  <c r="M124" i="4"/>
  <c r="M112" i="4" s="1"/>
  <c r="M139" i="4" s="1"/>
  <c r="G124" i="4"/>
  <c r="G112" i="4" s="1"/>
  <c r="G139" i="4" s="1"/>
  <c r="K124" i="4"/>
  <c r="K112" i="4" s="1"/>
  <c r="K139" i="4" s="1"/>
  <c r="O124" i="4"/>
  <c r="O112" i="4" s="1"/>
  <c r="O139" i="4" s="1"/>
  <c r="Y32" i="4" l="1"/>
  <c r="Y29" i="4" s="1"/>
  <c r="Y17" i="4" s="1"/>
  <c r="Y44" i="4" s="1"/>
  <c r="O80" i="4"/>
  <c r="O68" i="4" s="1"/>
  <c r="O95" i="4" s="1"/>
  <c r="W32" i="4"/>
  <c r="W29" i="4" s="1"/>
  <c r="W17" i="4" s="1"/>
  <c r="W44" i="4" s="1"/>
  <c r="M80" i="4"/>
  <c r="M68" i="4" s="1"/>
  <c r="M95" i="4" s="1"/>
  <c r="U32" i="4"/>
  <c r="U29" i="4" s="1"/>
  <c r="U17" i="4" s="1"/>
  <c r="U44" i="4" s="1"/>
  <c r="K80" i="4"/>
  <c r="K68" i="4" s="1"/>
  <c r="K95" i="4" s="1"/>
  <c r="S32" i="4"/>
  <c r="S29" i="4" s="1"/>
  <c r="S17" i="4" s="1"/>
  <c r="S44" i="4" s="1"/>
  <c r="I80" i="4"/>
  <c r="I68" i="4" s="1"/>
  <c r="I95" i="4" s="1"/>
  <c r="Q32" i="4"/>
  <c r="Q29" i="4" s="1"/>
  <c r="Q17" i="4" s="1"/>
  <c r="Q44" i="4" s="1"/>
  <c r="G80" i="4"/>
  <c r="G68" i="4" s="1"/>
  <c r="G95" i="4" s="1"/>
  <c r="F10" i="4" l="1"/>
  <c r="P60" i="4" l="1"/>
  <c r="P95" i="4" s="1"/>
  <c r="P104" i="4"/>
  <c r="P139" i="4" s="1"/>
  <c r="V10" i="4"/>
  <c r="R10" i="4"/>
  <c r="P10" i="4"/>
  <c r="T10" i="4"/>
  <c r="X10" i="4"/>
  <c r="Z10" i="4" l="1"/>
  <c r="Z9" i="4" s="1"/>
  <c r="Z44" i="4" s="1"/>
  <c r="F13" i="4" l="1"/>
  <c r="BH5" i="7" s="1"/>
  <c r="F11" i="4" l="1"/>
  <c r="BI5" i="7" l="1"/>
  <c r="F9" i="4"/>
  <c r="AY12" i="7"/>
  <c r="BL5" i="7" l="1"/>
  <c r="AZ12" i="7"/>
  <c r="BE22" i="7"/>
  <c r="F44" i="4"/>
  <c r="G9" i="4" s="1"/>
  <c r="AX5" i="7"/>
  <c r="BH4" i="7" l="1"/>
  <c r="BE4" i="7"/>
  <c r="BK4" i="7"/>
  <c r="BL4" i="7"/>
  <c r="BF4" i="7"/>
  <c r="BG4" i="7"/>
  <c r="BJ4" i="7"/>
  <c r="BK7" i="7"/>
  <c r="BI4" i="7"/>
  <c r="BA5" i="7"/>
  <c r="AY11" i="7" s="1"/>
  <c r="G14" i="4"/>
  <c r="G17" i="4"/>
  <c r="G33" i="4"/>
  <c r="AT5" i="6"/>
  <c r="AT7" i="6" s="1"/>
  <c r="BJ22" i="7"/>
  <c r="BE21" i="7" s="1"/>
  <c r="AZ14" i="7"/>
  <c r="AX4" i="7" l="1"/>
  <c r="AZ11" i="7"/>
  <c r="BH21" i="7"/>
  <c r="BI21" i="7"/>
  <c r="BJ21" i="7"/>
  <c r="BF21" i="7"/>
  <c r="BJ24" i="7"/>
  <c r="BG21" i="7"/>
  <c r="AT9" i="6"/>
  <c r="AT13" i="6"/>
  <c r="AT11" i="6"/>
  <c r="AX11" i="7"/>
  <c r="AY4" i="7"/>
  <c r="BA4" i="7"/>
  <c r="AZ4" i="7"/>
  <c r="BA7" i="7"/>
  <c r="P36" i="4" l="1"/>
  <c r="V13" i="4" l="1"/>
  <c r="P13" i="4" l="1"/>
  <c r="R13" i="4"/>
  <c r="T13" i="4"/>
  <c r="X13" i="4"/>
  <c r="N104" i="4" l="1"/>
  <c r="J104" i="4"/>
  <c r="F104" i="4"/>
  <c r="H104" i="4"/>
  <c r="L104" i="4"/>
  <c r="T11" i="4" l="1"/>
  <c r="T9" i="4" s="1"/>
  <c r="J60" i="4"/>
  <c r="X11" i="4"/>
  <c r="X9" i="4" s="1"/>
  <c r="N60" i="4"/>
  <c r="V11" i="4"/>
  <c r="V9" i="4" s="1"/>
  <c r="L60" i="4"/>
  <c r="P11" i="4"/>
  <c r="P9" i="4" s="1"/>
  <c r="F60" i="4"/>
  <c r="R11" i="4"/>
  <c r="R9" i="4" s="1"/>
  <c r="H60" i="4"/>
  <c r="F22" i="2" l="1"/>
  <c r="F22" i="3" l="1"/>
  <c r="G22" i="3" l="1"/>
  <c r="G22" i="2"/>
  <c r="H22" i="2" l="1"/>
  <c r="H22" i="3"/>
  <c r="I22" i="2" l="1"/>
  <c r="I22" i="3"/>
  <c r="J22" i="3" l="1"/>
  <c r="J22" i="2"/>
  <c r="K22" i="3" l="1"/>
  <c r="K22" i="2"/>
  <c r="L22" i="3" l="1"/>
  <c r="L22" i="2"/>
  <c r="M22" i="3" l="1"/>
  <c r="M22" i="2"/>
  <c r="N22" i="2" l="1"/>
  <c r="N22" i="3"/>
  <c r="O22" i="2" l="1"/>
  <c r="O22" i="3"/>
  <c r="P22" i="2" l="1"/>
  <c r="P22" i="3"/>
  <c r="Q22" i="2" l="1"/>
  <c r="Q22" i="3"/>
  <c r="R22" i="3" l="1"/>
  <c r="R22" i="2"/>
  <c r="S22" i="3" l="1"/>
  <c r="S22" i="2"/>
  <c r="T22" i="2" l="1"/>
  <c r="T22" i="3"/>
  <c r="U22" i="2" l="1"/>
  <c r="U22" i="3"/>
  <c r="V22" i="2" l="1"/>
  <c r="V22" i="3"/>
  <c r="W22" i="2" l="1"/>
  <c r="W22" i="3"/>
  <c r="X22" i="2" l="1"/>
  <c r="X22" i="3"/>
  <c r="Y22" i="3" l="1"/>
  <c r="Y22" i="2"/>
  <c r="Z22" i="2" l="1"/>
  <c r="Z22" i="3"/>
  <c r="AA22" i="2" l="1"/>
  <c r="AA22" i="3"/>
  <c r="AB22" i="2" l="1"/>
  <c r="AB22" i="3"/>
  <c r="AC22" i="3" l="1"/>
  <c r="AC22" i="2"/>
  <c r="T38" i="4" l="1"/>
  <c r="X38" i="4"/>
  <c r="N128" i="4" l="1"/>
  <c r="N139" i="4" s="1"/>
  <c r="L128" i="4"/>
  <c r="L139" i="4" s="1"/>
  <c r="V37" i="4"/>
  <c r="L84" i="4"/>
  <c r="L95" i="4" s="1"/>
  <c r="V38" i="4"/>
  <c r="T37" i="4"/>
  <c r="T33" i="4" s="1"/>
  <c r="T44" i="4" s="1"/>
  <c r="J84" i="4"/>
  <c r="J95" i="4" s="1"/>
  <c r="R37" i="4"/>
  <c r="H84" i="4"/>
  <c r="H95" i="4" s="1"/>
  <c r="X37" i="4"/>
  <c r="X33" i="4" s="1"/>
  <c r="X44" i="4" s="1"/>
  <c r="N84" i="4"/>
  <c r="N95" i="4" s="1"/>
  <c r="J128" i="4"/>
  <c r="J139" i="4" s="1"/>
  <c r="P37" i="4"/>
  <c r="F84" i="4"/>
  <c r="F95" i="4" s="1"/>
  <c r="P38" i="4"/>
  <c r="H128" i="4"/>
  <c r="H139" i="4" s="1"/>
  <c r="F128" i="4"/>
  <c r="F139" i="4" s="1"/>
  <c r="R38" i="4"/>
  <c r="R33" i="4" l="1"/>
  <c r="R44" i="4" s="1"/>
  <c r="V33" i="4"/>
  <c r="V44" i="4" s="1"/>
  <c r="P33" i="4"/>
  <c r="P4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VF</author>
    <author>As_Gabinete_Oeste1</author>
  </authors>
  <commentList>
    <comment ref="A6" authorId="0" shapeId="0" xr:uid="{00000000-0006-0000-0800-000001000000}">
      <text>
        <r>
          <rPr>
            <sz val="9"/>
            <color indexed="81"/>
            <rFont val="Tahoma"/>
            <family val="2"/>
          </rPr>
          <t>La información sobre DEUDA FLOTANTE se encuentra disponible en la página web del Ministerio de Hacienda - Responsabilidad Fiscal (Anexo 6)</t>
        </r>
      </text>
    </comment>
    <comment ref="AT6" authorId="1" shapeId="0" xr:uid="{1671D6C8-92B0-4354-AEAD-924EAD2DFEE9}">
      <text>
        <r>
          <rPr>
            <b/>
            <sz val="9"/>
            <color indexed="81"/>
            <rFont val="Tahoma"/>
            <family val="2"/>
          </rPr>
          <t>Dato provisorio</t>
        </r>
      </text>
    </comment>
    <comment ref="A12" authorId="0" shapeId="0" xr:uid="{00000000-0006-0000-0800-000008000000}">
      <text>
        <r>
          <rPr>
            <sz val="9"/>
            <color indexed="81"/>
            <rFont val="Tahoma"/>
            <family val="2"/>
          </rPr>
          <t>La información sobre DEUDA FLOTANTE se encuentra disponible en la página web del Ministerio de Hacienda - Responsabilidad Fiscal (Anexo 6)</t>
        </r>
      </text>
    </comment>
    <comment ref="AT12" authorId="1" shapeId="0" xr:uid="{068A44AC-41D6-45A4-842F-B3E901C1445C}">
      <text>
        <r>
          <rPr>
            <b/>
            <sz val="9"/>
            <color indexed="81"/>
            <rFont val="Tahoma"/>
            <family val="2"/>
          </rPr>
          <t>Dato provisorio.</t>
        </r>
      </text>
    </comment>
  </commentList>
</comments>
</file>

<file path=xl/sharedStrings.xml><?xml version="1.0" encoding="utf-8"?>
<sst xmlns="http://schemas.openxmlformats.org/spreadsheetml/2006/main" count="985" uniqueCount="264">
  <si>
    <t>Acreedor/Creditor</t>
  </si>
  <si>
    <t>ID</t>
  </si>
  <si>
    <t>Pesos</t>
  </si>
  <si>
    <t>FFFIR Ley 8930 - $416 MM</t>
  </si>
  <si>
    <t>FFFIRF26</t>
  </si>
  <si>
    <t>ANSES - Fideicomiso IPV VDF</t>
  </si>
  <si>
    <t>IPVO26</t>
  </si>
  <si>
    <t>FFFIR Ley 8066 Ampliación</t>
  </si>
  <si>
    <t>FFFIRE26</t>
  </si>
  <si>
    <t>Multilateral</t>
  </si>
  <si>
    <t>1.1. B.I.D.</t>
  </si>
  <si>
    <t>2573 BID-PROSAP</t>
  </si>
  <si>
    <t>BIDD36</t>
  </si>
  <si>
    <t>1956 BID-PROSAP</t>
  </si>
  <si>
    <t>BIDA33</t>
  </si>
  <si>
    <t>1640 BID-Programa Mendoza Productiva</t>
  </si>
  <si>
    <t>BIDG25</t>
  </si>
  <si>
    <t>3169-BID-Programa-Mendoza-Tecnológica</t>
  </si>
  <si>
    <t>BIDF40</t>
  </si>
  <si>
    <t>1855 BID - MUNICIPIOS</t>
  </si>
  <si>
    <t>BIDN32</t>
  </si>
  <si>
    <t>3806 BID-PROSAP</t>
  </si>
  <si>
    <t>BIDY42</t>
  </si>
  <si>
    <t>1134 BID - PROMEBA</t>
  </si>
  <si>
    <t>BIDO24</t>
  </si>
  <si>
    <t>1895 BID - PROAS ENOHSA Los Barriales</t>
  </si>
  <si>
    <t>BIDS34</t>
  </si>
  <si>
    <t>1895 BID - PROAS ENOHSA PMG EPAS</t>
  </si>
  <si>
    <t>BIDS23</t>
  </si>
  <si>
    <t>1.2. B.I.R.F.</t>
  </si>
  <si>
    <t>7597 BIRF - PROSAP</t>
  </si>
  <si>
    <t>BIRS38</t>
  </si>
  <si>
    <t>BONO DE INTERESES</t>
  </si>
  <si>
    <t>PMG25</t>
  </si>
  <si>
    <t>TOTAL</t>
  </si>
  <si>
    <t>TOTAL AMORTIZACIONES EN PESOS</t>
  </si>
  <si>
    <t>PERFIL DE AMORTIZACIONES MENSUAL POR TIPO DE MONEDA</t>
  </si>
  <si>
    <t>PERFIL DE INTERESES MENSUAL POR TIPO DE MONEDA</t>
  </si>
  <si>
    <t>Dólar</t>
  </si>
  <si>
    <t>UVA</t>
  </si>
  <si>
    <t>PERFIL DE AMORTIZACIONES ANUAL POR TIPO DE MONEDA</t>
  </si>
  <si>
    <t>PERFIL DE INTERESES ANUAL POR TIPO DE MONEDA</t>
  </si>
  <si>
    <t>Servicios Deuda = Amort. + Int</t>
  </si>
  <si>
    <t>PERFIL SERVICIOS DE LA DEUDA ANUAL POR TIPO DE MONEDA</t>
  </si>
  <si>
    <t>En Millones Especie</t>
  </si>
  <si>
    <t>%</t>
  </si>
  <si>
    <t>TOTAL DEUDA CONSOLIDADA</t>
  </si>
  <si>
    <t>BADLAR (Fin de Período)</t>
  </si>
  <si>
    <t>Tipo de Cambio Nominal ARS / USD (Fin de Período)</t>
  </si>
  <si>
    <t>Cupón / Cupon</t>
  </si>
  <si>
    <t>Fecha inicio / Issue date</t>
  </si>
  <si>
    <t>Garantizado por / Secured by</t>
  </si>
  <si>
    <t>Duración (Meses) / Maturity (Months)</t>
  </si>
  <si>
    <t>Frecuencia / Frequency</t>
  </si>
  <si>
    <t>Fecha vto. / Maturity Date</t>
  </si>
  <si>
    <t>Forma de pago / Payment method</t>
  </si>
  <si>
    <t>1er Trimestre</t>
  </si>
  <si>
    <t>Art. 21 Ley de Responsabilidad Fiscal</t>
  </si>
  <si>
    <t xml:space="preserve">SERVICIOS DEUDA </t>
  </si>
  <si>
    <t>RECURSOS CORRIENTES
(Netos de Copart. a Municipios)</t>
  </si>
  <si>
    <t>SS DEUDA / REC. CTES. "&lt; 15%"</t>
  </si>
  <si>
    <t>COVENANTS BONOS</t>
  </si>
  <si>
    <t>SERVICIOS DEUDA GARANTIZADA CON COPARTICIPACIÓN SIG. 12 MESES
[1]</t>
  </si>
  <si>
    <t>COPARTICIPACIÓN RECIBIDA 3 MESES ANTERIORES x 4
[2]</t>
  </si>
  <si>
    <t>[1] / [2]  "&lt; 50%"</t>
  </si>
  <si>
    <t>INTERESES PAGADOS 12 MESES ANTERIORES A INCURRIR EN DEUDA
[3]</t>
  </si>
  <si>
    <t>RECURSOS PERCIBIDOS 12 MESES ANTERIORES
[4]</t>
  </si>
  <si>
    <t>[3] / [4]  "&lt; 13%"</t>
  </si>
  <si>
    <t>CAPITAL PENDIENTE DE DEUDA NO GARANTIZADA CON COPARTICIP.
[5]</t>
  </si>
  <si>
    <t>RECURSOS PERCIBIDOS 12 MESES ANTERIORES
[6]</t>
  </si>
  <si>
    <t>[5] / [6]  "&lt; 10%"</t>
  </si>
  <si>
    <t>SERVICIOS DEUDA GARANTIZADA CON COPARTICIP. 4 TRIM FISCALES MÁS RECIENTES
[7]</t>
  </si>
  <si>
    <t>COPARTICIPACIÓN RECIBIDA DICHO PERÍODO
[8]</t>
  </si>
  <si>
    <t>[7] / [8]  "&lt; 50%"</t>
  </si>
  <si>
    <t>(1) Deuda Consolidada  ADMINISTRACIÓN CENTRAL</t>
  </si>
  <si>
    <t>(1+2)= (3) Deuda TOTAL  ADMINISTRACIÓN CENTRAL</t>
  </si>
  <si>
    <t>(B) TIPO DE CAMBIO COMUNICACIÓN 3500 BCRA  ÚLTIMO DÍA HÁBIL CADA TRIMESTRE</t>
  </si>
  <si>
    <t>(3) / (B) Deuda TOTAL ADMINISTRACIÓN CENTRAL medida en USD</t>
  </si>
  <si>
    <t>(4) Deuda Flotante DESCENTRALIZADAS Y CUENTAS ESPECIALES</t>
  </si>
  <si>
    <t>En Millones de Especie</t>
  </si>
  <si>
    <t>Vencimiento por Moneda</t>
  </si>
  <si>
    <t>Total Ss</t>
  </si>
  <si>
    <t>Vencimiento por Servicio</t>
  </si>
  <si>
    <t>Capital</t>
  </si>
  <si>
    <t>Interés</t>
  </si>
  <si>
    <t>Gobierno Federal</t>
  </si>
  <si>
    <t>Banco de la Nación Argentina</t>
  </si>
  <si>
    <t>Bancos Nacionales e Internacionales</t>
  </si>
  <si>
    <t>Organismos Multilaterales</t>
  </si>
  <si>
    <t>Tenedores de Bonos</t>
  </si>
  <si>
    <t>Vencimiento por Acreedor</t>
  </si>
  <si>
    <t>Acreedor</t>
  </si>
  <si>
    <t>Saldo Millones Moneda Origen / Outstanding Millons Currency</t>
  </si>
  <si>
    <t>Saldo Millones USD / Outstanding Millons USD</t>
  </si>
  <si>
    <t>DEUDA PÚBLICA EN USD</t>
  </si>
  <si>
    <t>USD</t>
  </si>
  <si>
    <t>Composición por Moneda</t>
  </si>
  <si>
    <t>Millones USD</t>
  </si>
  <si>
    <t>STOCK</t>
  </si>
  <si>
    <t>Composición por Tasa</t>
  </si>
  <si>
    <t>BADLAR</t>
  </si>
  <si>
    <t>LIBOR</t>
  </si>
  <si>
    <t>FIJA $</t>
  </si>
  <si>
    <t>FIJA UVA</t>
  </si>
  <si>
    <t>FIJA USD</t>
  </si>
  <si>
    <t>VARIABLE USD</t>
  </si>
  <si>
    <t>EVOLUCIÓN STOCK DEUDA CONSOLIDADA Y DEUDA FLOTANTE</t>
  </si>
  <si>
    <t>Composición_por_tasa_de_interés</t>
  </si>
  <si>
    <t>Composición_por_moneda</t>
  </si>
  <si>
    <t>Vencimiento_en_pesos</t>
  </si>
  <si>
    <t>Vencimiento_en_USD</t>
  </si>
  <si>
    <t>Vencimientos_en_pesos_por_servicio</t>
  </si>
  <si>
    <t>Vencimientos_en_pesos_por_acreedor</t>
  </si>
  <si>
    <t>Vencimientos_en_USD_por_acreedor</t>
  </si>
  <si>
    <t>Graficos</t>
  </si>
  <si>
    <t>TOTAL AMORTIZACIONES EN USD</t>
  </si>
  <si>
    <t>TOTAL INTERESES EN PESOS</t>
  </si>
  <si>
    <t>TOTAL INTERESES EN USD</t>
  </si>
  <si>
    <t>Vencimientos_en_USD_por_servicio</t>
  </si>
  <si>
    <t>PMM29</t>
  </si>
  <si>
    <t>BONO MENDOZA 2029</t>
  </si>
  <si>
    <t>4779 BID - RP82</t>
  </si>
  <si>
    <t>BIDN44</t>
  </si>
  <si>
    <r>
      <t xml:space="preserve">Pertenece a la Ley N° 25.917 de Responabilidad Fiscal en su Capítulo V - "Endeudamiento":
Art 21) </t>
    </r>
    <r>
      <rPr>
        <sz val="11"/>
        <color theme="1"/>
        <rFont val="Arial Narrow"/>
        <family val="2"/>
      </rPr>
      <t>Los gobiernos de las provincias y de la Ciudad Autónoma de Buenos Aires tomarán las medidas necesarias para que el nivel de endeudamiento de sus jurisdicciones sea tal que en cada ejercicio fiscal los servicios de la deuda instrumentada no superen el quince por ciento (15%) de los recursos corrientes netos de transferencias por coparticipación a municipios.</t>
    </r>
  </si>
  <si>
    <t>BONO EMERGENCIA</t>
  </si>
  <si>
    <t>PMY25</t>
  </si>
  <si>
    <r>
      <t xml:space="preserve">DEUDA PÚBLICA EN PESOS </t>
    </r>
    <r>
      <rPr>
        <b/>
        <vertAlign val="superscript"/>
        <sz val="12"/>
        <color theme="0"/>
        <rFont val="Arial Narrow"/>
        <family val="2"/>
      </rPr>
      <t>(1)</t>
    </r>
  </si>
  <si>
    <r>
      <t xml:space="preserve">Moneda / Currency </t>
    </r>
    <r>
      <rPr>
        <b/>
        <vertAlign val="superscript"/>
        <sz val="11"/>
        <color theme="0"/>
        <rFont val="Arial Narrow"/>
        <family val="2"/>
      </rPr>
      <t>(1)</t>
    </r>
  </si>
  <si>
    <t>TGP</t>
  </si>
  <si>
    <t>Bono de Conversión ANSES</t>
  </si>
  <si>
    <t>PMM31</t>
  </si>
  <si>
    <r>
      <t xml:space="preserve">Pertenece al prospecto del Bono Mendoza 2029 (PMM29)  "Compromisos - Limitación a los Gravámenes":
(e) </t>
    </r>
    <r>
      <rPr>
        <sz val="11"/>
        <color theme="1"/>
        <rFont val="Arial Narrow"/>
        <family val="2"/>
      </rPr>
      <t>cualquier Gravamen que garantice Deuda de la Provincia, constituido sobre el derecho de la Provincia a percibir Pagos en Coparticipación; con la salvedad que el monto de capital total de la Deuda así garantizada y pendiente de pago en cualquier momento no podrá superar un monto tal que provoque que la Relación de Deuda Garantizada por la Coparticipación Trimestral supere el 50%.</t>
    </r>
  </si>
  <si>
    <r>
      <t xml:space="preserve">Pertenece al prospecto del Bono Mendoza 2029 (PMM29)  "Compromisos - Compromisos de cobertura de interés":                                                                                                                                            </t>
    </r>
    <r>
      <rPr>
        <sz val="11"/>
        <color theme="1"/>
        <rFont val="Arial Narrow"/>
        <family val="2"/>
      </rPr>
      <t>La Provincia ha acordado que no incurrirá, asumirá o garantizará y no permitirá que ninguna Entidad Provincial incurra en ninguna Deuda, con la excepción de que, a la fecha en que se proponga incurrir, el monto de los “Gastos de Interés” incurridos durante los anteriores doce meses finalizados en el trimestre fiscales más recientes, dependiendo el caso, no exceda el 13% de los Ingresos obtenidos durante el referido período de doce meses.</t>
    </r>
  </si>
  <si>
    <r>
      <t xml:space="preserve">Pertenece al prospecto del Bono Mendoza 2029 (PMM29)  "Compromisos - Limitación a los Gravámenes":
(h) </t>
    </r>
    <r>
      <rPr>
        <sz val="11"/>
        <color theme="1"/>
        <rFont val="Arial Narrow"/>
        <family val="2"/>
      </rPr>
      <t>cualquier otro gravamen, diferente de aquellos Gravámenes relacionados con el derecho de la Provincia a recibir Pagos en Coparticipación, que garanticen Deuda de la Provincia en un monto total de capital pendiente de pago que no supere en ningún momento el 10% de los Ingresos anuales de la Provincia para el período que incluye los cuatro trimestres fiscales consecutivos más recientes que finalicen antes de la fecha en que se incurra dicho Gravamen.</t>
    </r>
  </si>
  <si>
    <r>
      <t xml:space="preserve">"Compromisos - Limitación a los Gravámenes":
(e) </t>
    </r>
    <r>
      <rPr>
        <sz val="11"/>
        <color theme="1"/>
        <rFont val="Arial Narrow"/>
        <family val="2"/>
      </rPr>
      <t>cualquier Gravamen que garantice Deuda de la Provincia que involucre el derecho de la Provincia a percibir Pagos en Coparticipación; con la salvedad que la Deuda así garantizada no deberá provocar que el Ratio de Deuda Garantizada por la Coparticipación supere el 50% en el trimestre fiscal más reciente que finalice antes de la fecha de cálculo.</t>
    </r>
  </si>
  <si>
    <t>Banco Nación-Refinanciación 2022</t>
  </si>
  <si>
    <t>BNAM27</t>
  </si>
  <si>
    <t>Check</t>
  </si>
  <si>
    <t>4312 BID PLAN BELGRANO</t>
  </si>
  <si>
    <t>8867 BIRF - GIRSAR</t>
  </si>
  <si>
    <t>BIRE50</t>
  </si>
  <si>
    <t>Coparticipación Federal de Impuestos</t>
  </si>
  <si>
    <t>Mensual</t>
  </si>
  <si>
    <t>Automático</t>
  </si>
  <si>
    <t>10-y Bond/LIBOR 12M (mayor) + 3,70%</t>
  </si>
  <si>
    <t>Otras Transferencias Nacionales</t>
  </si>
  <si>
    <t>Badlar Públicos + 2%</t>
  </si>
  <si>
    <t>Trimestral</t>
  </si>
  <si>
    <t>Semestral</t>
  </si>
  <si>
    <t>BADLAR Bancos Privados + 3%</t>
  </si>
  <si>
    <t xml:space="preserve">Tasa Base Libor 3 M + Margen BID </t>
  </si>
  <si>
    <t>Libor 6M + 1,35%</t>
  </si>
  <si>
    <t>Sin garantía</t>
  </si>
  <si>
    <t>BADLAR Bcos Priv</t>
  </si>
  <si>
    <t>BADLAR Bancos Privados + 4%</t>
  </si>
  <si>
    <t>BADLAR Bancos Privados</t>
  </si>
  <si>
    <t>-</t>
  </si>
  <si>
    <t>Títulos de Deuda SVS</t>
  </si>
  <si>
    <t>PMJ25</t>
  </si>
  <si>
    <t>BADLAR Bancos Privados + 5,90%</t>
  </si>
  <si>
    <t>8712 BIRF - Proyecto Integral Hábitat y Vivienda</t>
  </si>
  <si>
    <t>BIRF34</t>
  </si>
  <si>
    <t>Promedio        2030-2050</t>
  </si>
  <si>
    <t>TÍTULOS DE DEUDA SVS</t>
  </si>
  <si>
    <t>Prom Resto 2030-2050</t>
  </si>
  <si>
    <t>C</t>
  </si>
  <si>
    <t>GF</t>
  </si>
  <si>
    <t>BNA</t>
  </si>
  <si>
    <t>BI</t>
  </si>
  <si>
    <t>BN</t>
  </si>
  <si>
    <t>TB</t>
  </si>
  <si>
    <r>
      <rPr>
        <vertAlign val="superscript"/>
        <sz val="12"/>
        <color theme="1"/>
        <rFont val="Arial Narrow"/>
        <family val="2"/>
      </rPr>
      <t>(1)</t>
    </r>
    <r>
      <rPr>
        <sz val="12"/>
        <color theme="1"/>
        <rFont val="Arial Narrow"/>
        <family val="2"/>
      </rPr>
      <t xml:space="preserve"> Se incluye Endeudamiento con el Fondo Fiduciario Federal de Infraestructura Regional (FFFIR) ajustable por el Costo de la Construcción (ICC) con un tope máximo de 17%.</t>
    </r>
  </si>
  <si>
    <t>Fecha</t>
  </si>
  <si>
    <t>IPC INDEC</t>
  </si>
  <si>
    <t>IPC SL</t>
  </si>
  <si>
    <t>VAR SL</t>
  </si>
  <si>
    <t>INDEX</t>
  </si>
  <si>
    <t>IPC</t>
  </si>
  <si>
    <t>CER (Fin de Período)</t>
  </si>
  <si>
    <t>FFFIR Cloacas Tunuyán - Tupungato</t>
  </si>
  <si>
    <t>Deuda</t>
  </si>
  <si>
    <t>PBG</t>
  </si>
  <si>
    <t>En millones de ARS corrientes</t>
  </si>
  <si>
    <t>Ratio</t>
  </si>
  <si>
    <t>Cap</t>
  </si>
  <si>
    <t>Int</t>
  </si>
  <si>
    <t>I</t>
  </si>
  <si>
    <t>CARACTERÍSTICA DE LOS AVALES Y/O GARANTÍAS OTORGADAS</t>
  </si>
  <si>
    <t>En millones de $</t>
  </si>
  <si>
    <t>Beneficiario</t>
  </si>
  <si>
    <t>Marco Legal</t>
  </si>
  <si>
    <t>Proyecto</t>
  </si>
  <si>
    <t>Programa</t>
  </si>
  <si>
    <t>Monto del Contrato</t>
  </si>
  <si>
    <t>Moneda</t>
  </si>
  <si>
    <t>Garantía de Contraparte</t>
  </si>
  <si>
    <t>Saldo Adeudado</t>
  </si>
  <si>
    <t>Condiciones Financieras</t>
  </si>
  <si>
    <t>Plazo</t>
  </si>
  <si>
    <t>Gracia</t>
  </si>
  <si>
    <t>Tasa</t>
  </si>
  <si>
    <t>Cantidad de Cuotas</t>
  </si>
  <si>
    <t>Periodicidad</t>
  </si>
  <si>
    <t>No hay avales y/o garantías otorgados</t>
  </si>
  <si>
    <t>BIDE37</t>
  </si>
  <si>
    <t>Acumulada trimestre</t>
  </si>
  <si>
    <t>Total</t>
  </si>
  <si>
    <t>2030-2050</t>
  </si>
  <si>
    <t>GRÁFICOS</t>
  </si>
  <si>
    <t>COMPOSICIÓN DE LA DEUDA PÚBLICA POR TASA DE INTERÉS</t>
  </si>
  <si>
    <t>COMPOSICIÓN DE LA DEUDA PÚBLICA POR MONEDA</t>
  </si>
  <si>
    <t>% del Total</t>
  </si>
  <si>
    <t xml:space="preserve"> % del Total</t>
  </si>
  <si>
    <t>PERFIL DE VENCIMIENTO DEUDA PÚBLICA EN PESOS</t>
  </si>
  <si>
    <t>PERFIL DE VENCIMIENTO DEUDA PÚBLICA EN DÓLARES</t>
  </si>
  <si>
    <t>Millones de USD</t>
  </si>
  <si>
    <t>Millones de $</t>
  </si>
  <si>
    <t>PERFIL DE VENCIMIENTOS DEUDA PÚBLICA EN DÓLARES POR TIPO DE SERVICIO</t>
  </si>
  <si>
    <t>Millones de USD. Capital e Interés como % del servicio total</t>
  </si>
  <si>
    <t>Millones de $. Capital e Interés como % del servicio total</t>
  </si>
  <si>
    <t>PERFIL DE VENCIMIENTOS DEUDA PÚBLICA EN PESOS POR TIPO DE SERVICIO</t>
  </si>
  <si>
    <t>PERFIL DE VENCIMIENTO DEUDA PÚBLICA EN PESOS POR ACREEDOR</t>
  </si>
  <si>
    <t>PERFIL DE VENCIMIENTO DEUDA PÚBLICA EN DÓLARES POR ACREEDOR</t>
  </si>
  <si>
    <t>TÍTULOS DE DEUDA CER CLASE 1</t>
  </si>
  <si>
    <t>TÍTULOS DE DEUDA CER CLASE 2</t>
  </si>
  <si>
    <t>PMD25</t>
  </si>
  <si>
    <t>PMM27</t>
  </si>
  <si>
    <t>Pesos Ajustados</t>
  </si>
  <si>
    <t xml:space="preserve">CER </t>
  </si>
  <si>
    <t>Cupón Cero</t>
  </si>
  <si>
    <t>FFFIRS33</t>
  </si>
  <si>
    <r>
      <t xml:space="preserve">BONO MENDOZA 2029 </t>
    </r>
    <r>
      <rPr>
        <vertAlign val="superscript"/>
        <sz val="11"/>
        <rFont val="Arial Narrow"/>
        <family val="2"/>
      </rPr>
      <t>(1)</t>
    </r>
  </si>
  <si>
    <r>
      <rPr>
        <vertAlign val="superscript"/>
        <sz val="9"/>
        <color theme="1"/>
        <rFont val="Arial Narrow"/>
        <family val="2"/>
      </rPr>
      <t xml:space="preserve">(1) </t>
    </r>
    <r>
      <rPr>
        <sz val="9"/>
        <color theme="1"/>
        <rFont val="Arial Narrow"/>
        <family val="2"/>
      </rPr>
      <t>Tasa de Interés: desde e incluyendo el 19 de mayo de 2020 hasta y excluyendo el 19 de septiembre de 2021, 2,75%; desde e incluyendo el 19 de septiembre de 2021 hasta y excluyendo el 19 de marzo de 2023, 4,25%; desde e incluyendo el 19 de marzo de 2023 hasta y excluyendo el 19 de marzo de 2029, 5,75%.</t>
    </r>
  </si>
  <si>
    <t>Fuente: MHyF, DGDP</t>
  </si>
  <si>
    <t xml:space="preserve">Fuente MHyF, DGDP </t>
  </si>
  <si>
    <t>Fuente MHyF, DGDP</t>
  </si>
  <si>
    <t xml:space="preserve">PERFIL DE VENCIMIENTOS DEUDA PÚBLICA EN PESOS </t>
  </si>
  <si>
    <t>POR TIPO DE SERVICIO</t>
  </si>
  <si>
    <t xml:space="preserve">Fuente: MHyF, DGDP </t>
  </si>
  <si>
    <t>Deuda TOTAL/PBG*</t>
  </si>
  <si>
    <t>*Nota: A partir de septiembre de 2024, este ratio no resulta directamente comparable con informes anteriores, debido al cambio de base del PBG a 2004, publicado por la DEIE el día 27/08/2024.</t>
  </si>
  <si>
    <t>(p)</t>
  </si>
  <si>
    <t>(p) Dato provisrio</t>
  </si>
  <si>
    <t>Composición por Acreedor</t>
  </si>
  <si>
    <t>Pesos ajustados</t>
  </si>
  <si>
    <t>Composición por Moneda (solo Pesos)</t>
  </si>
  <si>
    <t>(2) Deuda Flotante ADMINISTRACIÓN CENTRAL (a)</t>
  </si>
  <si>
    <t>Banco Nación - Metrotranvía Mza</t>
  </si>
  <si>
    <t>BNAY30</t>
  </si>
  <si>
    <t>Tasa TAMAR + Margen de Puntos Básicos</t>
  </si>
  <si>
    <t>Títulos de Deuda TAMAR CLASE 1</t>
  </si>
  <si>
    <t>Títulos de Deuda TAMAR CLASE 2</t>
  </si>
  <si>
    <t>TAMAR + 4,75%</t>
  </si>
  <si>
    <t>TAMAR + 5,5%</t>
  </si>
  <si>
    <t>TAMAR</t>
  </si>
  <si>
    <r>
      <t xml:space="preserve">8712 BIRF - Proyecto Integral Hábitat y Vivienda </t>
    </r>
    <r>
      <rPr>
        <vertAlign val="superscript"/>
        <sz val="11"/>
        <rFont val="Arial Narrow"/>
        <family val="2"/>
      </rPr>
      <t>(2)</t>
    </r>
  </si>
  <si>
    <r>
      <rPr>
        <vertAlign val="superscript"/>
        <sz val="9"/>
        <color theme="1"/>
        <rFont val="Arial Narrow"/>
        <family val="2"/>
      </rPr>
      <t>(2)</t>
    </r>
    <r>
      <rPr>
        <sz val="9"/>
        <color theme="1"/>
        <rFont val="Arial Narrow"/>
        <family val="2"/>
      </rPr>
      <t xml:space="preserve"> La administración y gestión de los fondos provenientes del Préstamo es realizada por el IPV</t>
    </r>
  </si>
  <si>
    <t xml:space="preserve"> (A) (IPC Marzo 2025) /(IPC Periodo) </t>
  </si>
  <si>
    <t>(3) x (A) = Deuda TOTAL ADMINISTRACIÓN CENTRAL medida en PESOS de Marzo de 2025</t>
  </si>
  <si>
    <t>(3+4) x (A)= Deuda TOTAL medida en PESOS de Marzo de 2025</t>
  </si>
  <si>
    <t>(1) Se incluye Endeudamiento con el Fondo Fiduciario Federal de Infraestructura Regional (FFFIR) ajustable por el Costo de la Construcción (ICC) con un tope máximo de 17% para 2020 y 2021.</t>
  </si>
  <si>
    <t>PMJ26</t>
  </si>
  <si>
    <t>PMD26</t>
  </si>
  <si>
    <t>(a) NETO DE FONDO DE RESARCIMIENTO DE LOS DAÑOS DE LA PROMOCIÓN INDUSTRIAL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</si>
</sst>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4" formatCode="_-&quot;$&quot;\ * #,##0.00_-;\-&quot;$&quot;\ * #,##0.00_-;_-&quot;$&quot;\ * &quot;-&quot;??_-;_-@_-"/>
    <numFmt numFmtId="43" formatCode="_-* #,##0.00_-;\-* #,##0.00_-;_-* &quot;-&quot;??_-;_-@_-"/>
    <numFmt numFmtId="164" formatCode="[$ARS]\ #,##0.00"/>
    <numFmt numFmtId="165" formatCode="[$USD]\ #,##0.00"/>
    <numFmt numFmtId="166" formatCode="_ * #,##0.00_ ;_ * \-#,##0.00_ ;_ * &quot;-&quot;??_ ;_ @_ "/>
    <numFmt numFmtId="167" formatCode="[$-409]mmm\-yy;@"/>
    <numFmt numFmtId="168" formatCode="0.0%"/>
    <numFmt numFmtId="169" formatCode="0.0000%"/>
    <numFmt numFmtId="170" formatCode="_ * #,##0_ ;_ * \-#,##0_ ;_ * &quot;-&quot;??_ ;_ @_ "/>
    <numFmt numFmtId="171" formatCode="0.000"/>
    <numFmt numFmtId="172" formatCode="#,##0.0"/>
    <numFmt numFmtId="173" formatCode="&quot;$&quot;#,##0.00"/>
    <numFmt numFmtId="174" formatCode="#,##0.0_ ;\-#,##0.0\ "/>
    <numFmt numFmtId="175" formatCode="#,##0.00_ ;\-#,##0.00\ "/>
    <numFmt numFmtId="176" formatCode="0.000%"/>
    <numFmt numFmtId="177" formatCode="_ * #,##0.0_ ;_ * \-#,##0.0_ ;_ * &quot;-&quot;??_ ;_ @_ "/>
    <numFmt numFmtId="178" formatCode="[$USD]\ #,##0.000000"/>
    <numFmt numFmtId="179" formatCode="_ * #,##0.00000000_ ;_ * \-#,##0.00000000_ ;_ * &quot;-&quot;??_ ;_ @_ "/>
    <numFmt numFmtId="180" formatCode="0.0"/>
    <numFmt numFmtId="181" formatCode="#,##0.00_ ;[Red]\-#,##0.00\ "/>
    <numFmt numFmtId="182" formatCode="mmmm\-yy"/>
    <numFmt numFmtId="183" formatCode="_-* #,##0.00\ _€_-;\-* #,##0.00\ _€_-;_-* &quot;-&quot;??\ _€_-;_-@_-"/>
    <numFmt numFmtId="184" formatCode="[$USD]\ #,##0.00000000000000000000"/>
    <numFmt numFmtId="185" formatCode="[$ARS]\ #,##0.00000000000"/>
    <numFmt numFmtId="186" formatCode="[$ARS]\ #,##0.0000000000000"/>
    <numFmt numFmtId="187" formatCode="[$ARS]\ #,##0.0000000000000000"/>
    <numFmt numFmtId="188" formatCode="[$ARS]\ #,##0.00000000000000000"/>
    <numFmt numFmtId="189" formatCode="[$ARS]\ #,##0.0000000000000000000"/>
    <numFmt numFmtId="190" formatCode="[$ARS]\ #,##0.00000000000000000000"/>
    <numFmt numFmtId="191" formatCode="[$ARS]\ #,##0.000000000000000000000"/>
    <numFmt numFmtId="192" formatCode="0.00000"/>
  </numFmts>
  <fonts count="60" x14ac:knownFonts="1">
    <font>
      <sz val="11"/>
      <color theme="1"/>
      <name val="Calibri"/>
      <family val="2"/>
      <scheme val="minor"/>
    </font>
    <font>
      <sz val="11"/>
      <color theme="1"/>
      <name val="Arial Narrow"/>
      <family val="2"/>
    </font>
    <font>
      <sz val="11"/>
      <color theme="1"/>
      <name val="Calibri"/>
      <family val="2"/>
      <scheme val="minor"/>
    </font>
    <font>
      <sz val="9"/>
      <color indexed="81"/>
      <name val="Tahoma"/>
      <family val="2"/>
    </font>
    <font>
      <sz val="11"/>
      <color theme="1"/>
      <name val="Arial Narrow"/>
      <family val="2"/>
    </font>
    <font>
      <sz val="12"/>
      <color theme="1"/>
      <name val="Arial Narrow"/>
      <family val="2"/>
    </font>
    <font>
      <b/>
      <sz val="12"/>
      <color theme="0"/>
      <name val="Arial Narrow"/>
      <family val="2"/>
    </font>
    <font>
      <sz val="12"/>
      <name val="Arial Narrow"/>
      <family val="2"/>
    </font>
    <font>
      <b/>
      <sz val="11"/>
      <color theme="0"/>
      <name val="Arial Narrow"/>
      <family val="2"/>
    </font>
    <font>
      <b/>
      <sz val="11"/>
      <color theme="1"/>
      <name val="Arial Narrow"/>
      <family val="2"/>
    </font>
    <font>
      <b/>
      <sz val="16"/>
      <color theme="1"/>
      <name val="Arial Narrow"/>
      <family val="2"/>
    </font>
    <font>
      <sz val="13"/>
      <color rgb="FF000099"/>
      <name val="Arial Narrow"/>
      <family val="2"/>
    </font>
    <font>
      <sz val="11"/>
      <name val="Arial Narrow"/>
      <family val="2"/>
    </font>
    <font>
      <b/>
      <sz val="11"/>
      <color theme="0"/>
      <name val="Calibri"/>
      <family val="2"/>
      <scheme val="minor"/>
    </font>
    <font>
      <sz val="11"/>
      <color theme="0"/>
      <name val="Calibri"/>
      <family val="2"/>
      <scheme val="minor"/>
    </font>
    <font>
      <sz val="11"/>
      <color theme="0"/>
      <name val="Arial Narrow"/>
      <family val="2"/>
    </font>
    <font>
      <b/>
      <sz val="11"/>
      <name val="Arial Narrow"/>
      <family val="2"/>
    </font>
    <font>
      <sz val="9"/>
      <color theme="1"/>
      <name val="Arial Narrow"/>
      <family val="2"/>
    </font>
    <font>
      <sz val="10"/>
      <name val="Arial Narrow"/>
      <family val="2"/>
    </font>
    <font>
      <b/>
      <sz val="10"/>
      <color theme="0"/>
      <name val="Arial Narrow"/>
      <family val="2"/>
    </font>
    <font>
      <b/>
      <sz val="10"/>
      <name val="Arial Narrow"/>
      <family val="2"/>
    </font>
    <font>
      <b/>
      <sz val="12"/>
      <color theme="1"/>
      <name val="Arial Narrow"/>
      <family val="2"/>
    </font>
    <font>
      <sz val="10"/>
      <color theme="1"/>
      <name val="Arial Narrow"/>
      <family val="2"/>
    </font>
    <font>
      <sz val="5"/>
      <color theme="0"/>
      <name val="Calibri"/>
      <family val="2"/>
      <scheme val="minor"/>
    </font>
    <font>
      <b/>
      <sz val="11"/>
      <color theme="1"/>
      <name val="Calibri"/>
      <family val="2"/>
      <scheme val="minor"/>
    </font>
    <font>
      <sz val="11"/>
      <color rgb="FF000000"/>
      <name val="Calibri"/>
      <family val="2"/>
      <scheme val="minor"/>
    </font>
    <font>
      <b/>
      <sz val="10"/>
      <color theme="1"/>
      <name val="Arial Narrow"/>
      <family val="2"/>
    </font>
    <font>
      <sz val="11"/>
      <color rgb="FFFF0000"/>
      <name val="Arial Narrow"/>
      <family val="2"/>
    </font>
    <font>
      <vertAlign val="superscript"/>
      <sz val="11"/>
      <name val="Arial Narrow"/>
      <family val="2"/>
    </font>
    <font>
      <b/>
      <vertAlign val="superscript"/>
      <sz val="12"/>
      <color theme="0"/>
      <name val="Arial Narrow"/>
      <family val="2"/>
    </font>
    <font>
      <b/>
      <vertAlign val="superscript"/>
      <sz val="11"/>
      <color theme="0"/>
      <name val="Arial Narrow"/>
      <family val="2"/>
    </font>
    <font>
      <sz val="11"/>
      <color rgb="FFFF0000"/>
      <name val="Calibri"/>
      <family val="2"/>
      <scheme val="minor"/>
    </font>
    <font>
      <sz val="11"/>
      <color rgb="FF000099"/>
      <name val="Calibri"/>
      <family val="2"/>
      <scheme val="minor"/>
    </font>
    <font>
      <b/>
      <sz val="9"/>
      <color rgb="FF000099"/>
      <name val="Arial Narrow"/>
      <family val="2"/>
    </font>
    <font>
      <vertAlign val="superscript"/>
      <sz val="9"/>
      <color theme="1"/>
      <name val="Arial Narrow"/>
      <family val="2"/>
    </font>
    <font>
      <b/>
      <sz val="9"/>
      <color theme="1"/>
      <name val="Arial Narrow"/>
      <family val="2"/>
    </font>
    <font>
      <b/>
      <sz val="11"/>
      <color rgb="FF000099"/>
      <name val="Calibri"/>
      <family val="2"/>
      <scheme val="minor"/>
    </font>
    <font>
      <b/>
      <sz val="11"/>
      <color rgb="FFFF0000"/>
      <name val="Arial Narrow"/>
      <family val="2"/>
    </font>
    <font>
      <sz val="12"/>
      <color theme="0"/>
      <name val="Arial Narrow"/>
      <family val="2"/>
    </font>
    <font>
      <sz val="12"/>
      <color theme="1"/>
      <name val="Calibri"/>
      <family val="2"/>
      <scheme val="minor"/>
    </font>
    <font>
      <vertAlign val="superscript"/>
      <sz val="12"/>
      <color theme="1"/>
      <name val="Arial Narrow"/>
      <family val="2"/>
    </font>
    <font>
      <b/>
      <sz val="8"/>
      <color indexed="30"/>
      <name val="Arial"/>
      <family val="2"/>
    </font>
    <font>
      <sz val="11"/>
      <color theme="5"/>
      <name val="Calibri"/>
      <family val="2"/>
      <scheme val="minor"/>
    </font>
    <font>
      <b/>
      <sz val="14"/>
      <color theme="1"/>
      <name val="Arial Narrow"/>
      <family val="2"/>
    </font>
    <font>
      <b/>
      <u/>
      <sz val="11"/>
      <color theme="1"/>
      <name val="Calibri"/>
      <family val="2"/>
      <scheme val="minor"/>
    </font>
    <font>
      <b/>
      <sz val="9"/>
      <color theme="0"/>
      <name val="Arial Narrow"/>
      <family val="2"/>
    </font>
    <font>
      <b/>
      <sz val="9"/>
      <color theme="0"/>
      <name val="Arial"/>
      <family val="2"/>
    </font>
    <font>
      <sz val="9"/>
      <color theme="0"/>
      <name val="Calibri"/>
      <family val="2"/>
      <scheme val="minor"/>
    </font>
    <font>
      <b/>
      <sz val="9"/>
      <name val="Arial"/>
      <family val="2"/>
    </font>
    <font>
      <sz val="9"/>
      <name val="Arial"/>
      <family val="2"/>
    </font>
    <font>
      <sz val="10"/>
      <color theme="1"/>
      <name val="Arial"/>
      <family val="2"/>
    </font>
    <font>
      <sz val="10"/>
      <color indexed="8"/>
      <name val="Arial"/>
      <family val="2"/>
    </font>
    <font>
      <b/>
      <sz val="16"/>
      <color theme="1"/>
      <name val="Calibri"/>
      <family val="2"/>
      <scheme val="minor"/>
    </font>
    <font>
      <b/>
      <sz val="14"/>
      <color rgb="FF000000"/>
      <name val="Arial Narrow"/>
      <family val="2"/>
    </font>
    <font>
      <b/>
      <sz val="9"/>
      <color indexed="81"/>
      <name val="Tahoma"/>
      <family val="2"/>
    </font>
    <font>
      <sz val="13"/>
      <color rgb="FF000F9F"/>
      <name val="Arial Narrow"/>
      <family val="2"/>
    </font>
    <font>
      <sz val="12"/>
      <color rgb="FF000F9F"/>
      <name val="Arial Narrow"/>
      <family val="2"/>
    </font>
    <font>
      <vertAlign val="superscript"/>
      <sz val="11"/>
      <color theme="1"/>
      <name val="Arial Narrow"/>
      <family val="2"/>
    </font>
    <font>
      <sz val="12"/>
      <name val="Arial"/>
      <family val="2"/>
    </font>
    <font>
      <b/>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rgb="FFFFFF00"/>
        <bgColor indexed="64"/>
      </patternFill>
    </fill>
    <fill>
      <patternFill patternType="solid">
        <fgColor rgb="FF000F9F"/>
        <bgColor indexed="64"/>
      </patternFill>
    </fill>
    <fill>
      <patternFill patternType="solid">
        <fgColor rgb="FF3CB4E5"/>
        <bgColor indexed="64"/>
      </patternFill>
    </fill>
    <fill>
      <patternFill patternType="solid">
        <fgColor rgb="FFC8A977"/>
        <bgColor indexed="64"/>
      </patternFill>
    </fill>
    <fill>
      <patternFill patternType="solid">
        <fgColor rgb="FFFFFFFF"/>
        <bgColor indexed="64"/>
      </patternFill>
    </fill>
    <fill>
      <patternFill patternType="solid">
        <fgColor rgb="FF00B0F0"/>
        <bgColor indexed="64"/>
      </patternFill>
    </fill>
    <fill>
      <patternFill patternType="solid">
        <fgColor theme="5" tint="0.59999389629810485"/>
        <bgColor indexed="64"/>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50" fillId="0" borderId="0"/>
    <xf numFmtId="181" fontId="51" fillId="0" borderId="0" applyFont="0" applyFill="0" applyBorder="0" applyAlignment="0" applyProtection="0"/>
    <xf numFmtId="166" fontId="2" fillId="0" borderId="0" applyFont="0" applyFill="0" applyBorder="0" applyAlignment="0" applyProtection="0"/>
    <xf numFmtId="18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39">
    <xf numFmtId="0" fontId="0" fillId="0" borderId="0" xfId="0"/>
    <xf numFmtId="0" fontId="4" fillId="0" borderId="0" xfId="0" applyFont="1"/>
    <xf numFmtId="164" fontId="5" fillId="0" borderId="0" xfId="0" applyNumberFormat="1" applyFont="1" applyAlignment="1">
      <alignment vertical="center"/>
    </xf>
    <xf numFmtId="0" fontId="4" fillId="0" borderId="0" xfId="0" applyFont="1" applyAlignment="1">
      <alignment vertical="center"/>
    </xf>
    <xf numFmtId="164" fontId="7" fillId="0" borderId="0" xfId="0" applyNumberFormat="1" applyFont="1" applyAlignment="1">
      <alignment vertical="center"/>
    </xf>
    <xf numFmtId="164" fontId="11" fillId="0" borderId="0" xfId="0" applyNumberFormat="1" applyFont="1" applyAlignment="1">
      <alignment vertical="center"/>
    </xf>
    <xf numFmtId="43" fontId="4" fillId="0" borderId="0" xfId="0" applyNumberFormat="1" applyFont="1"/>
    <xf numFmtId="164" fontId="10" fillId="0" borderId="0" xfId="0" applyNumberFormat="1" applyFont="1" applyAlignment="1">
      <alignment horizontal="left" vertical="center"/>
    </xf>
    <xf numFmtId="164" fontId="12" fillId="0" borderId="2" xfId="0" applyNumberFormat="1" applyFont="1" applyBorder="1" applyAlignment="1">
      <alignment vertical="center"/>
    </xf>
    <xf numFmtId="164" fontId="12" fillId="0" borderId="2" xfId="0" applyNumberFormat="1" applyFont="1" applyBorder="1" applyAlignment="1">
      <alignment horizontal="center" vertical="center"/>
    </xf>
    <xf numFmtId="0" fontId="1" fillId="0" borderId="0" xfId="0" applyFont="1" applyAlignment="1">
      <alignment vertical="center"/>
    </xf>
    <xf numFmtId="165" fontId="12" fillId="0" borderId="2" xfId="0" applyNumberFormat="1" applyFont="1" applyBorder="1" applyAlignment="1">
      <alignment horizontal="center" vertical="center"/>
    </xf>
    <xf numFmtId="164" fontId="12" fillId="0" borderId="0" xfId="0" applyNumberFormat="1" applyFont="1" applyAlignment="1">
      <alignment vertical="center"/>
    </xf>
    <xf numFmtId="0" fontId="1" fillId="0" borderId="0" xfId="0" applyFont="1"/>
    <xf numFmtId="164" fontId="12" fillId="2" borderId="0" xfId="0" applyNumberFormat="1" applyFont="1" applyFill="1" applyAlignment="1">
      <alignment vertical="center"/>
    </xf>
    <xf numFmtId="166" fontId="1" fillId="0" borderId="0" xfId="1" applyFont="1" applyBorder="1" applyAlignment="1">
      <alignment horizontal="center"/>
    </xf>
    <xf numFmtId="0" fontId="15" fillId="0" borderId="0" xfId="0" applyFont="1"/>
    <xf numFmtId="0" fontId="14" fillId="0" borderId="0" xfId="0" applyFont="1" applyAlignment="1">
      <alignment horizontal="center" vertical="center"/>
    </xf>
    <xf numFmtId="43" fontId="0" fillId="0" borderId="0" xfId="0" applyNumberFormat="1"/>
    <xf numFmtId="167" fontId="12" fillId="2" borderId="2" xfId="0" applyNumberFormat="1" applyFont="1" applyFill="1" applyBorder="1" applyAlignment="1">
      <alignment horizontal="center" vertical="center"/>
    </xf>
    <xf numFmtId="3" fontId="12" fillId="0" borderId="2" xfId="0" applyNumberFormat="1" applyFont="1" applyBorder="1" applyAlignment="1">
      <alignment horizontal="center" vertical="center"/>
    </xf>
    <xf numFmtId="0" fontId="8" fillId="0" borderId="0" xfId="0" applyFont="1" applyAlignment="1">
      <alignment horizontal="center" vertical="center"/>
    </xf>
    <xf numFmtId="164" fontId="8" fillId="0" borderId="0" xfId="0" applyNumberFormat="1" applyFont="1" applyAlignment="1">
      <alignment vertical="center"/>
    </xf>
    <xf numFmtId="164" fontId="16" fillId="0" borderId="0" xfId="0" applyNumberFormat="1" applyFont="1" applyAlignment="1">
      <alignment vertical="center"/>
    </xf>
    <xf numFmtId="164" fontId="8" fillId="0" borderId="0" xfId="0" applyNumberFormat="1" applyFont="1" applyAlignment="1">
      <alignment horizontal="left" vertical="center" wrapText="1"/>
    </xf>
    <xf numFmtId="165" fontId="16" fillId="0" borderId="2" xfId="0" applyNumberFormat="1" applyFont="1" applyBorder="1" applyAlignment="1">
      <alignment horizontal="center" vertical="center"/>
    </xf>
    <xf numFmtId="0" fontId="17" fillId="0" borderId="0" xfId="0" applyFont="1" applyAlignment="1">
      <alignment horizontal="left"/>
    </xf>
    <xf numFmtId="164" fontId="18" fillId="0" borderId="2" xfId="0" applyNumberFormat="1" applyFont="1" applyBorder="1" applyAlignment="1">
      <alignment horizontal="center" vertical="center" wrapText="1"/>
    </xf>
    <xf numFmtId="10" fontId="18" fillId="0" borderId="2" xfId="2" applyNumberFormat="1" applyFont="1" applyFill="1" applyBorder="1" applyAlignment="1">
      <alignment horizontal="center" vertical="center" wrapText="1"/>
    </xf>
    <xf numFmtId="164" fontId="12" fillId="0" borderId="0" xfId="0" applyNumberFormat="1" applyFont="1" applyAlignment="1">
      <alignment horizontal="center" vertical="center"/>
    </xf>
    <xf numFmtId="166" fontId="17" fillId="0" borderId="0" xfId="1" applyFont="1" applyBorder="1" applyAlignment="1">
      <alignment horizontal="left"/>
    </xf>
    <xf numFmtId="166" fontId="1" fillId="0" borderId="0" xfId="1" applyFont="1" applyAlignment="1">
      <alignment vertical="center"/>
    </xf>
    <xf numFmtId="166" fontId="0" fillId="0" borderId="0" xfId="1" applyFont="1"/>
    <xf numFmtId="170" fontId="1" fillId="0" borderId="0" xfId="1" applyNumberFormat="1" applyFont="1" applyAlignment="1">
      <alignment vertical="center"/>
    </xf>
    <xf numFmtId="0" fontId="17" fillId="0" borderId="7" xfId="0" applyFont="1" applyBorder="1"/>
    <xf numFmtId="0" fontId="17" fillId="0" borderId="0" xfId="0" applyFont="1"/>
    <xf numFmtId="0" fontId="22" fillId="0" borderId="0" xfId="0" applyFont="1" applyAlignment="1">
      <alignment wrapText="1"/>
    </xf>
    <xf numFmtId="17" fontId="19" fillId="3" borderId="2" xfId="0" applyNumberFormat="1" applyFont="1" applyFill="1" applyBorder="1" applyAlignment="1">
      <alignment horizontal="center" vertical="center"/>
    </xf>
    <xf numFmtId="4" fontId="22" fillId="0" borderId="2" xfId="0" applyNumberFormat="1" applyFont="1" applyBorder="1" applyAlignment="1">
      <alignment horizontal="center" vertical="center"/>
    </xf>
    <xf numFmtId="171" fontId="22" fillId="0" borderId="2" xfId="0" applyNumberFormat="1" applyFont="1" applyBorder="1" applyAlignment="1">
      <alignment horizontal="center" vertical="center"/>
    </xf>
    <xf numFmtId="0" fontId="1" fillId="0" borderId="0" xfId="0" applyFont="1" applyAlignment="1">
      <alignment wrapText="1"/>
    </xf>
    <xf numFmtId="170" fontId="1" fillId="0" borderId="0" xfId="1" applyNumberFormat="1" applyFont="1"/>
    <xf numFmtId="166" fontId="1" fillId="0" borderId="0" xfId="1" applyFont="1" applyAlignment="1">
      <alignment wrapText="1"/>
    </xf>
    <xf numFmtId="0" fontId="1" fillId="0" borderId="0" xfId="0" applyFont="1" applyAlignment="1">
      <alignment horizontal="left"/>
    </xf>
    <xf numFmtId="4" fontId="22" fillId="0" borderId="2" xfId="3" applyNumberFormat="1" applyFont="1" applyBorder="1" applyAlignment="1">
      <alignment horizontal="center" vertical="center"/>
    </xf>
    <xf numFmtId="0" fontId="19"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vertical="center"/>
    </xf>
    <xf numFmtId="0" fontId="23" fillId="0" borderId="0" xfId="0" applyFont="1"/>
    <xf numFmtId="0" fontId="25" fillId="0" borderId="0" xfId="0" applyFont="1" applyAlignment="1">
      <alignment vertical="center"/>
    </xf>
    <xf numFmtId="0" fontId="13" fillId="0" borderId="0" xfId="0" applyFont="1"/>
    <xf numFmtId="173" fontId="17" fillId="0" borderId="0" xfId="0" applyNumberFormat="1" applyFont="1" applyAlignment="1">
      <alignment horizontal="left"/>
    </xf>
    <xf numFmtId="4" fontId="26" fillId="0" borderId="2" xfId="0" applyNumberFormat="1" applyFont="1" applyBorder="1" applyAlignment="1">
      <alignment horizontal="center" vertical="center"/>
    </xf>
    <xf numFmtId="169" fontId="1" fillId="0" borderId="0" xfId="2" applyNumberFormat="1" applyFont="1" applyAlignment="1">
      <alignment vertical="center"/>
    </xf>
    <xf numFmtId="166" fontId="1" fillId="0" borderId="0" xfId="1" applyFont="1"/>
    <xf numFmtId="166" fontId="4" fillId="0" borderId="0" xfId="1" applyFont="1"/>
    <xf numFmtId="0" fontId="27" fillId="0" borderId="0" xfId="0" applyFont="1"/>
    <xf numFmtId="4" fontId="1" fillId="0" borderId="0" xfId="0" applyNumberFormat="1" applyFont="1"/>
    <xf numFmtId="168" fontId="1" fillId="0" borderId="0" xfId="2" applyNumberFormat="1" applyFont="1"/>
    <xf numFmtId="10" fontId="1" fillId="0" borderId="0" xfId="0" applyNumberFormat="1" applyFont="1"/>
    <xf numFmtId="168" fontId="22" fillId="0" borderId="2" xfId="2" applyNumberFormat="1" applyFont="1" applyBorder="1" applyAlignment="1">
      <alignment horizontal="center" vertical="center"/>
    </xf>
    <xf numFmtId="168" fontId="22" fillId="0" borderId="2" xfId="2" applyNumberFormat="1" applyFont="1" applyFill="1" applyBorder="1" applyAlignment="1">
      <alignment horizontal="center" vertical="center"/>
    </xf>
    <xf numFmtId="172" fontId="1" fillId="0" borderId="2" xfId="1" applyNumberFormat="1" applyFont="1" applyBorder="1" applyAlignment="1">
      <alignment horizontal="center" vertical="center"/>
    </xf>
    <xf numFmtId="172" fontId="1" fillId="0" borderId="0" xfId="1" applyNumberFormat="1" applyFont="1" applyBorder="1" applyAlignment="1">
      <alignment horizontal="center"/>
    </xf>
    <xf numFmtId="172" fontId="0" fillId="0" borderId="0" xfId="0" applyNumberFormat="1"/>
    <xf numFmtId="172" fontId="12" fillId="0" borderId="0" xfId="0" applyNumberFormat="1" applyFont="1" applyAlignment="1">
      <alignment horizontal="center" vertical="center"/>
    </xf>
    <xf numFmtId="3" fontId="1" fillId="0" borderId="2" xfId="0" applyNumberFormat="1" applyFont="1" applyBorder="1" applyAlignment="1">
      <alignment horizontal="center" vertical="center" wrapText="1"/>
    </xf>
    <xf numFmtId="168" fontId="9" fillId="0" borderId="2" xfId="2" applyNumberFormat="1" applyFont="1" applyFill="1" applyBorder="1" applyAlignment="1">
      <alignment horizontal="center" vertical="center" wrapText="1"/>
    </xf>
    <xf numFmtId="0" fontId="17" fillId="0" borderId="0" xfId="0" applyFont="1" applyAlignment="1">
      <alignment horizontal="left" vertical="center" wrapText="1"/>
    </xf>
    <xf numFmtId="172" fontId="31" fillId="0" borderId="2" xfId="0" applyNumberFormat="1" applyFont="1" applyBorder="1" applyAlignment="1">
      <alignment horizontal="center" vertical="center"/>
    </xf>
    <xf numFmtId="172" fontId="32" fillId="0" borderId="2" xfId="0" applyNumberFormat="1" applyFont="1" applyBorder="1" applyAlignment="1">
      <alignment horizontal="center" vertical="center"/>
    </xf>
    <xf numFmtId="168" fontId="32" fillId="0" borderId="2" xfId="2" applyNumberFormat="1" applyFont="1" applyBorder="1" applyAlignment="1">
      <alignment horizontal="center" vertical="center"/>
    </xf>
    <xf numFmtId="172" fontId="31" fillId="0" borderId="2" xfId="0" applyNumberFormat="1" applyFont="1" applyBorder="1" applyAlignment="1">
      <alignment horizontal="center"/>
    </xf>
    <xf numFmtId="172" fontId="32" fillId="0" borderId="2" xfId="0" applyNumberFormat="1" applyFont="1" applyBorder="1" applyAlignment="1">
      <alignment horizontal="center"/>
    </xf>
    <xf numFmtId="4" fontId="31" fillId="0" borderId="2" xfId="0" applyNumberFormat="1" applyFont="1" applyBorder="1" applyAlignment="1">
      <alignment horizontal="center"/>
    </xf>
    <xf numFmtId="175" fontId="32" fillId="0" borderId="2" xfId="0" applyNumberFormat="1" applyFont="1" applyBorder="1" applyAlignment="1">
      <alignment horizontal="center"/>
    </xf>
    <xf numFmtId="168" fontId="32" fillId="0" borderId="2" xfId="2" applyNumberFormat="1" applyFont="1" applyBorder="1" applyAlignment="1">
      <alignment horizontal="center"/>
    </xf>
    <xf numFmtId="175" fontId="32" fillId="0" borderId="2" xfId="1" applyNumberFormat="1" applyFont="1" applyBorder="1" applyAlignment="1">
      <alignment horizontal="center"/>
    </xf>
    <xf numFmtId="174" fontId="32" fillId="0" borderId="2" xfId="1" applyNumberFormat="1" applyFont="1" applyBorder="1" applyAlignment="1">
      <alignment horizontal="center"/>
    </xf>
    <xf numFmtId="166" fontId="33" fillId="0" borderId="0" xfId="1" applyFont="1" applyBorder="1" applyAlignment="1">
      <alignment horizontal="left"/>
    </xf>
    <xf numFmtId="0" fontId="33" fillId="0" borderId="0" xfId="0" applyFont="1" applyAlignment="1">
      <alignment horizontal="left"/>
    </xf>
    <xf numFmtId="0" fontId="31" fillId="0" borderId="0" xfId="0" applyFont="1" applyAlignment="1">
      <alignment horizontal="center" vertical="center"/>
    </xf>
    <xf numFmtId="166" fontId="35" fillId="0" borderId="7" xfId="1" applyFont="1" applyBorder="1" applyAlignment="1">
      <alignment horizontal="center"/>
    </xf>
    <xf numFmtId="172" fontId="22" fillId="0" borderId="2" xfId="0" applyNumberFormat="1" applyFont="1" applyBorder="1" applyAlignment="1">
      <alignment horizontal="center" vertical="center"/>
    </xf>
    <xf numFmtId="177" fontId="4" fillId="0" borderId="0" xfId="0" applyNumberFormat="1" applyFont="1"/>
    <xf numFmtId="0" fontId="36" fillId="0" borderId="0" xfId="0" applyFont="1"/>
    <xf numFmtId="166" fontId="36" fillId="0" borderId="0" xfId="1" applyFont="1"/>
    <xf numFmtId="164" fontId="37" fillId="0" borderId="0" xfId="0" applyNumberFormat="1" applyFont="1" applyAlignment="1">
      <alignment horizontal="left" vertical="center" wrapText="1"/>
    </xf>
    <xf numFmtId="0" fontId="0" fillId="0" borderId="0" xfId="0" applyAlignment="1">
      <alignment horizontal="center"/>
    </xf>
    <xf numFmtId="172" fontId="31" fillId="0" borderId="0" xfId="0" applyNumberFormat="1" applyFont="1" applyAlignment="1">
      <alignment horizontal="center" vertical="center"/>
    </xf>
    <xf numFmtId="172" fontId="32" fillId="0" borderId="0" xfId="0" applyNumberFormat="1" applyFont="1" applyAlignment="1">
      <alignment horizontal="center" vertical="center"/>
    </xf>
    <xf numFmtId="168" fontId="32" fillId="0" borderId="0" xfId="2" applyNumberFormat="1" applyFont="1" applyBorder="1" applyAlignment="1">
      <alignment horizontal="center" vertical="center"/>
    </xf>
    <xf numFmtId="172" fontId="31" fillId="0" borderId="0" xfId="0" applyNumberFormat="1" applyFont="1" applyAlignment="1">
      <alignment horizontal="center"/>
    </xf>
    <xf numFmtId="172" fontId="32" fillId="0" borderId="0" xfId="0" applyNumberFormat="1" applyFont="1" applyAlignment="1">
      <alignment horizontal="center"/>
    </xf>
    <xf numFmtId="166" fontId="35" fillId="0" borderId="0" xfId="1" applyFont="1" applyBorder="1" applyAlignment="1">
      <alignment horizontal="center"/>
    </xf>
    <xf numFmtId="172" fontId="1" fillId="0" borderId="0" xfId="1" applyNumberFormat="1" applyFont="1" applyFill="1" applyBorder="1" applyAlignment="1">
      <alignment horizontal="center" vertical="center"/>
    </xf>
    <xf numFmtId="172" fontId="9" fillId="0" borderId="0" xfId="1" applyNumberFormat="1" applyFont="1" applyFill="1" applyBorder="1" applyAlignment="1">
      <alignment horizontal="center" vertical="center"/>
    </xf>
    <xf numFmtId="172" fontId="13" fillId="0" borderId="0" xfId="1" applyNumberFormat="1"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172" fontId="8" fillId="0" borderId="0" xfId="0" applyNumberFormat="1" applyFont="1" applyAlignment="1">
      <alignment horizontal="center" vertical="center"/>
    </xf>
    <xf numFmtId="4" fontId="0" fillId="0" borderId="0" xfId="0" applyNumberFormat="1"/>
    <xf numFmtId="166" fontId="0" fillId="0" borderId="0" xfId="1" applyFont="1" applyFill="1" applyBorder="1"/>
    <xf numFmtId="172" fontId="16" fillId="0" borderId="0" xfId="0" applyNumberFormat="1" applyFont="1" applyAlignment="1">
      <alignment horizontal="center" vertical="center"/>
    </xf>
    <xf numFmtId="179" fontId="17" fillId="0" borderId="0" xfId="1" applyNumberFormat="1" applyFont="1" applyBorder="1" applyAlignment="1">
      <alignment horizontal="left"/>
    </xf>
    <xf numFmtId="166" fontId="31" fillId="0" borderId="0" xfId="1" applyFont="1" applyAlignment="1">
      <alignment horizontal="center" vertical="center"/>
    </xf>
    <xf numFmtId="165" fontId="17" fillId="0" borderId="0" xfId="0" applyNumberFormat="1" applyFont="1" applyAlignment="1">
      <alignment horizontal="left"/>
    </xf>
    <xf numFmtId="172" fontId="23" fillId="0" borderId="0" xfId="0" applyNumberFormat="1" applyFont="1"/>
    <xf numFmtId="168" fontId="0" fillId="0" borderId="0" xfId="2" applyNumberFormat="1" applyFont="1"/>
    <xf numFmtId="0" fontId="38" fillId="0" borderId="0" xfId="0" applyFont="1"/>
    <xf numFmtId="0" fontId="5" fillId="0" borderId="0" xfId="0" applyFont="1"/>
    <xf numFmtId="177" fontId="5" fillId="0" borderId="0" xfId="0" applyNumberFormat="1" applyFont="1"/>
    <xf numFmtId="43" fontId="5" fillId="0" borderId="0" xfId="0" applyNumberFormat="1" applyFont="1"/>
    <xf numFmtId="43" fontId="5" fillId="0" borderId="0" xfId="1" applyNumberFormat="1" applyFont="1" applyBorder="1" applyAlignment="1">
      <alignment horizontal="center"/>
    </xf>
    <xf numFmtId="0" fontId="39" fillId="0" borderId="0" xfId="0" applyFont="1"/>
    <xf numFmtId="0" fontId="5" fillId="0" borderId="0" xfId="0" applyFont="1" applyAlignment="1">
      <alignment horizontal="left" vertical="center" wrapText="1"/>
    </xf>
    <xf numFmtId="178" fontId="5" fillId="0" borderId="0" xfId="0" applyNumberFormat="1" applyFont="1"/>
    <xf numFmtId="164" fontId="7" fillId="2" borderId="0" xfId="0" applyNumberFormat="1" applyFont="1" applyFill="1" applyAlignment="1">
      <alignment vertical="center"/>
    </xf>
    <xf numFmtId="43" fontId="5" fillId="0" borderId="0" xfId="0" applyNumberFormat="1" applyFont="1" applyAlignment="1">
      <alignment vertical="center"/>
    </xf>
    <xf numFmtId="17" fontId="0" fillId="0" borderId="0" xfId="0" applyNumberFormat="1"/>
    <xf numFmtId="9" fontId="0" fillId="0" borderId="0" xfId="2" applyFont="1"/>
    <xf numFmtId="2" fontId="41" fillId="0" borderId="13" xfId="0" applyNumberFormat="1" applyFont="1" applyBorder="1" applyAlignment="1">
      <alignment horizontal="center"/>
    </xf>
    <xf numFmtId="4" fontId="41" fillId="0" borderId="13" xfId="0" applyNumberFormat="1" applyFont="1" applyBorder="1" applyAlignment="1">
      <alignment horizontal="center"/>
    </xf>
    <xf numFmtId="4" fontId="41" fillId="0" borderId="0" xfId="0" applyNumberFormat="1" applyFont="1" applyAlignment="1">
      <alignment horizontal="center"/>
    </xf>
    <xf numFmtId="2" fontId="0" fillId="0" borderId="0" xfId="0" applyNumberFormat="1"/>
    <xf numFmtId="172" fontId="42" fillId="0" borderId="2" xfId="0" applyNumberFormat="1" applyFont="1" applyBorder="1" applyAlignment="1">
      <alignment horizontal="center" vertical="center"/>
    </xf>
    <xf numFmtId="172" fontId="42" fillId="0" borderId="2" xfId="0" applyNumberFormat="1" applyFont="1" applyBorder="1" applyAlignment="1">
      <alignment horizontal="center"/>
    </xf>
    <xf numFmtId="165" fontId="10" fillId="0" borderId="0" xfId="0" applyNumberFormat="1" applyFont="1" applyAlignment="1">
      <alignment horizontal="left" vertical="center"/>
    </xf>
    <xf numFmtId="165" fontId="5" fillId="0" borderId="0" xfId="0" applyNumberFormat="1" applyFont="1" applyAlignment="1">
      <alignment vertical="center"/>
    </xf>
    <xf numFmtId="165" fontId="12" fillId="0" borderId="0" xfId="0" applyNumberFormat="1" applyFont="1" applyAlignment="1">
      <alignment vertical="center"/>
    </xf>
    <xf numFmtId="165" fontId="0" fillId="0" borderId="0" xfId="0" applyNumberFormat="1"/>
    <xf numFmtId="165" fontId="35" fillId="0" borderId="7" xfId="1" applyNumberFormat="1" applyFont="1" applyBorder="1" applyAlignment="1">
      <alignment horizontal="center"/>
    </xf>
    <xf numFmtId="165" fontId="17" fillId="0" borderId="0" xfId="0" applyNumberFormat="1" applyFont="1"/>
    <xf numFmtId="9" fontId="1" fillId="0" borderId="0" xfId="2" applyFont="1"/>
    <xf numFmtId="0" fontId="44" fillId="0" borderId="0" xfId="0" applyFont="1"/>
    <xf numFmtId="0" fontId="48" fillId="0" borderId="18" xfId="0" applyFont="1" applyBorder="1"/>
    <xf numFmtId="181" fontId="48" fillId="0" borderId="2" xfId="0" applyNumberFormat="1" applyFont="1" applyBorder="1" applyAlignment="1">
      <alignment horizontal="right"/>
    </xf>
    <xf numFmtId="181" fontId="48" fillId="0" borderId="2" xfId="0" applyNumberFormat="1" applyFont="1" applyBorder="1"/>
    <xf numFmtId="0" fontId="49" fillId="0" borderId="2" xfId="0" applyFont="1" applyBorder="1" applyAlignment="1">
      <alignment horizontal="center"/>
    </xf>
    <xf numFmtId="182" fontId="49" fillId="0" borderId="2" xfId="0" applyNumberFormat="1" applyFont="1" applyBorder="1" applyAlignment="1">
      <alignment horizontal="center"/>
    </xf>
    <xf numFmtId="0" fontId="49" fillId="0" borderId="21" xfId="0" applyFont="1" applyBorder="1" applyAlignment="1">
      <alignment horizontal="center"/>
    </xf>
    <xf numFmtId="0" fontId="49" fillId="0" borderId="22" xfId="0" applyFont="1" applyBorder="1"/>
    <xf numFmtId="181" fontId="49" fillId="0" borderId="23" xfId="0" applyNumberFormat="1" applyFont="1" applyBorder="1"/>
    <xf numFmtId="4" fontId="49" fillId="0" borderId="23" xfId="0" applyNumberFormat="1" applyFont="1" applyBorder="1"/>
    <xf numFmtId="0" fontId="49" fillId="0" borderId="23" xfId="0" applyFont="1" applyBorder="1" applyAlignment="1">
      <alignment horizontal="center"/>
    </xf>
    <xf numFmtId="182" fontId="49" fillId="0" borderId="23" xfId="0" applyNumberFormat="1" applyFont="1" applyBorder="1" applyAlignment="1">
      <alignment horizontal="center"/>
    </xf>
    <xf numFmtId="1" fontId="49" fillId="0" borderId="23" xfId="0" applyNumberFormat="1" applyFont="1" applyBorder="1" applyAlignment="1">
      <alignment horizontal="center"/>
    </xf>
    <xf numFmtId="0" fontId="49" fillId="0" borderId="24" xfId="0" applyFont="1" applyBorder="1" applyAlignment="1">
      <alignment horizontal="center"/>
    </xf>
    <xf numFmtId="164" fontId="12" fillId="2" borderId="2" xfId="0" applyNumberFormat="1" applyFont="1" applyFill="1" applyBorder="1" applyAlignment="1">
      <alignment vertical="center"/>
    </xf>
    <xf numFmtId="9" fontId="1" fillId="0" borderId="0" xfId="0" applyNumberFormat="1" applyFont="1"/>
    <xf numFmtId="166" fontId="0" fillId="4" borderId="0" xfId="1" applyFont="1" applyFill="1"/>
    <xf numFmtId="0" fontId="0" fillId="4" borderId="0" xfId="0" applyFill="1"/>
    <xf numFmtId="0" fontId="52" fillId="0" borderId="0" xfId="0" applyFont="1"/>
    <xf numFmtId="0" fontId="53" fillId="0" borderId="0" xfId="0" applyFont="1" applyAlignment="1">
      <alignment horizontal="left" vertical="center" indent="1" readingOrder="1"/>
    </xf>
    <xf numFmtId="167" fontId="12" fillId="0" borderId="2" xfId="0" applyNumberFormat="1" applyFont="1" applyBorder="1" applyAlignment="1">
      <alignment horizontal="center" vertical="center"/>
    </xf>
    <xf numFmtId="164" fontId="55" fillId="0" borderId="0" xfId="0" applyNumberFormat="1" applyFont="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14" fontId="8" fillId="5" borderId="5" xfId="0" applyNumberFormat="1" applyFont="1" applyFill="1" applyBorder="1" applyAlignment="1">
      <alignment horizontal="center" vertical="center"/>
    </xf>
    <xf numFmtId="164" fontId="8" fillId="6" borderId="2" xfId="0" applyNumberFormat="1" applyFont="1" applyFill="1" applyBorder="1" applyAlignment="1">
      <alignment vertical="center"/>
    </xf>
    <xf numFmtId="165" fontId="8" fillId="6" borderId="2" xfId="0" applyNumberFormat="1" applyFont="1" applyFill="1" applyBorder="1" applyAlignment="1">
      <alignment horizontal="center" vertical="center"/>
    </xf>
    <xf numFmtId="10" fontId="8" fillId="6" borderId="2" xfId="2" applyNumberFormat="1" applyFont="1" applyFill="1" applyBorder="1" applyAlignment="1">
      <alignment horizontal="center" vertical="center"/>
    </xf>
    <xf numFmtId="164" fontId="19" fillId="6" borderId="2" xfId="0" applyNumberFormat="1" applyFont="1" applyFill="1" applyBorder="1" applyAlignment="1">
      <alignment horizontal="center" vertical="center" wrapText="1"/>
    </xf>
    <xf numFmtId="164" fontId="19" fillId="6" borderId="2" xfId="0" applyNumberFormat="1" applyFont="1" applyFill="1" applyBorder="1" applyAlignment="1">
      <alignment vertical="center" wrapText="1"/>
    </xf>
    <xf numFmtId="164" fontId="16" fillId="7" borderId="2" xfId="0" applyNumberFormat="1" applyFont="1" applyFill="1" applyBorder="1" applyAlignment="1">
      <alignment vertical="center"/>
    </xf>
    <xf numFmtId="165" fontId="9" fillId="7" borderId="2" xfId="0" applyNumberFormat="1" applyFont="1" applyFill="1" applyBorder="1" applyAlignment="1">
      <alignment horizontal="center" vertical="center"/>
    </xf>
    <xf numFmtId="164" fontId="20" fillId="7" borderId="2" xfId="0" applyNumberFormat="1" applyFont="1" applyFill="1" applyBorder="1" applyAlignment="1">
      <alignment horizontal="center" vertical="center" wrapText="1"/>
    </xf>
    <xf numFmtId="164" fontId="20" fillId="7" borderId="2" xfId="0" applyNumberFormat="1" applyFont="1" applyFill="1" applyBorder="1" applyAlignment="1">
      <alignment vertical="center" wrapText="1"/>
    </xf>
    <xf numFmtId="164" fontId="8" fillId="5" borderId="2" xfId="1" applyNumberFormat="1" applyFont="1" applyFill="1" applyBorder="1" applyAlignment="1">
      <alignment vertical="center"/>
    </xf>
    <xf numFmtId="0" fontId="13" fillId="5" borderId="2" xfId="0" applyFont="1" applyFill="1" applyBorder="1" applyAlignment="1">
      <alignment horizontal="center" vertical="center"/>
    </xf>
    <xf numFmtId="0" fontId="13" fillId="5" borderId="2" xfId="0" applyFont="1" applyFill="1" applyBorder="1" applyAlignment="1">
      <alignment horizontal="center" vertical="center" wrapText="1"/>
    </xf>
    <xf numFmtId="0" fontId="8" fillId="5" borderId="9" xfId="0" applyFont="1" applyFill="1" applyBorder="1" applyAlignment="1">
      <alignment horizontal="center" vertical="center"/>
    </xf>
    <xf numFmtId="172" fontId="8" fillId="6" borderId="2" xfId="0" applyNumberFormat="1" applyFont="1" applyFill="1" applyBorder="1" applyAlignment="1">
      <alignment horizontal="center" vertical="center"/>
    </xf>
    <xf numFmtId="172" fontId="13" fillId="6" borderId="2" xfId="1" applyNumberFormat="1" applyFont="1" applyFill="1" applyBorder="1" applyAlignment="1">
      <alignment horizontal="center" vertical="center"/>
    </xf>
    <xf numFmtId="172" fontId="9" fillId="7" borderId="2" xfId="1" applyNumberFormat="1" applyFont="1" applyFill="1" applyBorder="1" applyAlignment="1">
      <alignment horizontal="center" vertical="center"/>
    </xf>
    <xf numFmtId="172" fontId="16" fillId="7" borderId="2" xfId="0" applyNumberFormat="1" applyFont="1" applyFill="1" applyBorder="1" applyAlignment="1">
      <alignment horizontal="center" vertical="center"/>
    </xf>
    <xf numFmtId="164" fontId="56" fillId="0" borderId="0" xfId="0" applyNumberFormat="1" applyFont="1" applyAlignment="1">
      <alignment vertical="center"/>
    </xf>
    <xf numFmtId="166" fontId="6" fillId="6" borderId="0" xfId="0" applyNumberFormat="1" applyFont="1" applyFill="1" applyAlignment="1">
      <alignment horizontal="center" vertical="center"/>
    </xf>
    <xf numFmtId="0" fontId="6" fillId="5" borderId="0" xfId="0" applyFont="1" applyFill="1" applyAlignment="1">
      <alignment horizontal="center"/>
    </xf>
    <xf numFmtId="166" fontId="8" fillId="6" borderId="0" xfId="0" applyNumberFormat="1" applyFont="1" applyFill="1" applyAlignment="1">
      <alignment horizontal="center" vertical="center"/>
    </xf>
    <xf numFmtId="0" fontId="8" fillId="5" borderId="0" xfId="0" applyFont="1" applyFill="1" applyAlignment="1">
      <alignment horizontal="center"/>
    </xf>
    <xf numFmtId="17" fontId="19" fillId="6" borderId="2" xfId="0" applyNumberFormat="1" applyFont="1" applyFill="1" applyBorder="1" applyAlignment="1">
      <alignment horizontal="center" vertical="center"/>
    </xf>
    <xf numFmtId="0" fontId="19" fillId="5" borderId="2" xfId="0" applyFont="1" applyFill="1" applyBorder="1" applyAlignment="1">
      <alignment horizontal="left" vertical="center" wrapText="1"/>
    </xf>
    <xf numFmtId="4" fontId="22" fillId="7" borderId="2" xfId="0" applyNumberFormat="1" applyFont="1" applyFill="1" applyBorder="1" applyAlignment="1">
      <alignment horizontal="center" vertical="center"/>
    </xf>
    <xf numFmtId="10" fontId="22" fillId="7" borderId="2" xfId="2" applyNumberFormat="1" applyFont="1" applyFill="1" applyBorder="1" applyAlignment="1">
      <alignment horizontal="center" vertical="center"/>
    </xf>
    <xf numFmtId="0" fontId="8" fillId="6" borderId="2" xfId="0" applyFont="1" applyFill="1" applyBorder="1" applyAlignment="1">
      <alignment horizontal="center" vertical="center" wrapText="1"/>
    </xf>
    <xf numFmtId="177" fontId="0" fillId="6" borderId="0" xfId="1" applyNumberFormat="1" applyFont="1" applyFill="1" applyAlignment="1">
      <alignment horizontal="center"/>
    </xf>
    <xf numFmtId="177" fontId="31" fillId="6" borderId="0" xfId="1" applyNumberFormat="1" applyFont="1" applyFill="1" applyAlignment="1">
      <alignment horizontal="center" vertical="center"/>
    </xf>
    <xf numFmtId="172" fontId="31" fillId="6" borderId="0" xfId="0" applyNumberFormat="1" applyFont="1" applyFill="1" applyAlignment="1">
      <alignment horizontal="center"/>
    </xf>
    <xf numFmtId="0" fontId="53" fillId="0" borderId="0" xfId="0" applyFont="1" applyAlignment="1">
      <alignment horizontal="left" vertical="center" readingOrder="1"/>
    </xf>
    <xf numFmtId="0" fontId="56" fillId="0" borderId="0" xfId="0" applyFont="1" applyAlignment="1">
      <alignment horizontal="left" vertical="center" readingOrder="1"/>
    </xf>
    <xf numFmtId="0" fontId="56" fillId="0" borderId="0" xfId="0" applyFont="1" applyAlignment="1">
      <alignment horizontal="left" vertical="center" indent="1" readingOrder="1"/>
    </xf>
    <xf numFmtId="176" fontId="9" fillId="0" borderId="2" xfId="2" applyNumberFormat="1" applyFont="1" applyFill="1" applyBorder="1" applyAlignment="1">
      <alignment horizontal="center" vertical="center" wrapText="1"/>
    </xf>
    <xf numFmtId="172" fontId="12" fillId="2" borderId="2" xfId="0" applyNumberFormat="1" applyFont="1" applyFill="1" applyBorder="1" applyAlignment="1">
      <alignment horizontal="center" vertical="center"/>
    </xf>
    <xf numFmtId="164" fontId="12" fillId="2" borderId="2" xfId="0" applyNumberFormat="1" applyFont="1" applyFill="1" applyBorder="1" applyAlignment="1">
      <alignment horizontal="center" vertical="center"/>
    </xf>
    <xf numFmtId="165" fontId="12" fillId="2" borderId="2" xfId="0" applyNumberFormat="1" applyFont="1" applyFill="1" applyBorder="1" applyAlignment="1">
      <alignment horizontal="center" vertical="center"/>
    </xf>
    <xf numFmtId="171" fontId="9" fillId="2" borderId="2" xfId="0" applyNumberFormat="1" applyFont="1" applyFill="1" applyBorder="1" applyAlignment="1">
      <alignment horizontal="center"/>
    </xf>
    <xf numFmtId="176" fontId="9" fillId="2" borderId="2" xfId="2" applyNumberFormat="1" applyFont="1" applyFill="1" applyBorder="1" applyAlignment="1">
      <alignment horizontal="center"/>
    </xf>
    <xf numFmtId="164" fontId="7" fillId="2" borderId="2" xfId="0" applyNumberFormat="1" applyFont="1" applyFill="1" applyBorder="1" applyAlignment="1">
      <alignment vertical="center"/>
    </xf>
    <xf numFmtId="184" fontId="17" fillId="0" borderId="0" xfId="0" applyNumberFormat="1" applyFont="1" applyAlignment="1">
      <alignment horizontal="left"/>
    </xf>
    <xf numFmtId="185" fontId="12" fillId="0" borderId="2" xfId="0" applyNumberFormat="1" applyFont="1" applyBorder="1" applyAlignment="1">
      <alignment vertical="center"/>
    </xf>
    <xf numFmtId="187" fontId="12" fillId="0" borderId="2" xfId="0" applyNumberFormat="1" applyFont="1" applyBorder="1" applyAlignment="1">
      <alignment vertical="center"/>
    </xf>
    <xf numFmtId="188" fontId="12" fillId="0" borderId="2" xfId="0" applyNumberFormat="1" applyFont="1" applyBorder="1" applyAlignment="1">
      <alignment vertical="center"/>
    </xf>
    <xf numFmtId="189" fontId="12" fillId="0" borderId="2" xfId="0" applyNumberFormat="1" applyFont="1" applyBorder="1" applyAlignment="1">
      <alignment vertical="center"/>
    </xf>
    <xf numFmtId="190" fontId="12" fillId="0" borderId="2" xfId="0" applyNumberFormat="1" applyFont="1" applyBorder="1" applyAlignment="1">
      <alignment vertical="center"/>
    </xf>
    <xf numFmtId="191" fontId="12" fillId="0" borderId="2" xfId="0" applyNumberFormat="1" applyFont="1" applyBorder="1" applyAlignment="1">
      <alignment vertical="center"/>
    </xf>
    <xf numFmtId="186" fontId="12" fillId="2" borderId="2" xfId="0" applyNumberFormat="1" applyFont="1" applyFill="1" applyBorder="1" applyAlignment="1">
      <alignment vertical="center"/>
    </xf>
    <xf numFmtId="164" fontId="18" fillId="2" borderId="2" xfId="0" applyNumberFormat="1" applyFont="1" applyFill="1" applyBorder="1" applyAlignment="1">
      <alignment horizontal="center" vertical="center" wrapText="1"/>
    </xf>
    <xf numFmtId="10" fontId="18" fillId="2" borderId="2" xfId="2"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166" fontId="5" fillId="2" borderId="2" xfId="1" applyFont="1" applyFill="1" applyBorder="1" applyAlignment="1">
      <alignment horizontal="center" vertical="center"/>
    </xf>
    <xf numFmtId="172" fontId="1" fillId="0" borderId="2" xfId="1" applyNumberFormat="1" applyFont="1" applyFill="1" applyBorder="1" applyAlignment="1">
      <alignment horizontal="center" vertical="center"/>
    </xf>
    <xf numFmtId="164" fontId="7" fillId="0" borderId="2" xfId="0" applyNumberFormat="1" applyFont="1" applyBorder="1" applyAlignment="1">
      <alignment vertical="center"/>
    </xf>
    <xf numFmtId="166" fontId="4" fillId="0" borderId="0" xfId="1" applyFont="1" applyFill="1"/>
    <xf numFmtId="166" fontId="1" fillId="0" borderId="0" xfId="1" applyFont="1" applyFill="1"/>
    <xf numFmtId="44" fontId="1" fillId="0" borderId="0" xfId="8" applyFont="1"/>
    <xf numFmtId="2" fontId="1" fillId="0" borderId="0" xfId="8" applyNumberFormat="1" applyFont="1"/>
    <xf numFmtId="10" fontId="1" fillId="0" borderId="0" xfId="2" applyNumberFormat="1" applyFont="1"/>
    <xf numFmtId="0" fontId="14" fillId="2" borderId="0" xfId="0" applyFont="1" applyFill="1" applyAlignment="1">
      <alignment horizontal="center" vertical="center"/>
    </xf>
    <xf numFmtId="166" fontId="4" fillId="2" borderId="0" xfId="1" applyFont="1" applyFill="1"/>
    <xf numFmtId="0" fontId="4" fillId="2" borderId="0" xfId="0" applyFont="1" applyFill="1"/>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3" fontId="0" fillId="0" borderId="0" xfId="0" applyNumberFormat="1"/>
    <xf numFmtId="10" fontId="0" fillId="0" borderId="0" xfId="2" applyNumberFormat="1" applyFont="1"/>
    <xf numFmtId="10" fontId="0" fillId="0" borderId="0" xfId="0" applyNumberFormat="1"/>
    <xf numFmtId="9" fontId="0" fillId="0" borderId="0" xfId="0" applyNumberFormat="1"/>
    <xf numFmtId="4" fontId="22" fillId="0" borderId="9" xfId="0" applyNumberFormat="1" applyFont="1" applyBorder="1" applyAlignment="1">
      <alignment horizontal="center" vertical="center"/>
    </xf>
    <xf numFmtId="172" fontId="57" fillId="0" borderId="9" xfId="0" quotePrefix="1" applyNumberFormat="1" applyFont="1" applyBorder="1" applyAlignment="1">
      <alignment horizontal="center" vertical="center"/>
    </xf>
    <xf numFmtId="4" fontId="26" fillId="0" borderId="9" xfId="0" applyNumberFormat="1" applyFont="1" applyBorder="1" applyAlignment="1">
      <alignment horizontal="center" vertical="center"/>
    </xf>
    <xf numFmtId="171" fontId="22" fillId="0" borderId="9" xfId="0" applyNumberFormat="1" applyFont="1" applyBorder="1" applyAlignment="1">
      <alignment horizontal="center" vertical="center"/>
    </xf>
    <xf numFmtId="4" fontId="22" fillId="7" borderId="9" xfId="0" applyNumberFormat="1" applyFont="1" applyFill="1" applyBorder="1" applyAlignment="1">
      <alignment horizontal="center" vertical="center"/>
    </xf>
    <xf numFmtId="10" fontId="22" fillId="7" borderId="9" xfId="2" applyNumberFormat="1" applyFont="1" applyFill="1" applyBorder="1" applyAlignment="1">
      <alignment horizontal="center" vertical="center"/>
    </xf>
    <xf numFmtId="10" fontId="22" fillId="7" borderId="4" xfId="2" applyNumberFormat="1" applyFont="1" applyFill="1" applyBorder="1" applyAlignment="1">
      <alignment horizontal="center" vertical="center"/>
    </xf>
    <xf numFmtId="0" fontId="1" fillId="0" borderId="0" xfId="0" quotePrefix="1" applyFont="1" applyAlignment="1">
      <alignment horizontal="left"/>
    </xf>
    <xf numFmtId="17" fontId="19" fillId="6" borderId="4" xfId="0" applyNumberFormat="1" applyFont="1" applyFill="1" applyBorder="1" applyAlignment="1">
      <alignment horizontal="centerContinuous" vertical="center"/>
    </xf>
    <xf numFmtId="17" fontId="19" fillId="6" borderId="9" xfId="0" applyNumberFormat="1" applyFont="1" applyFill="1" applyBorder="1" applyAlignment="1">
      <alignment horizontal="centerContinuous" vertical="center"/>
    </xf>
    <xf numFmtId="172" fontId="31" fillId="2" borderId="2" xfId="0" applyNumberFormat="1" applyFont="1" applyFill="1" applyBorder="1" applyAlignment="1">
      <alignment horizontal="center" vertical="center"/>
    </xf>
    <xf numFmtId="172" fontId="32" fillId="2" borderId="2" xfId="0" applyNumberFormat="1" applyFont="1" applyFill="1" applyBorder="1" applyAlignment="1">
      <alignment horizontal="center" vertical="center"/>
    </xf>
    <xf numFmtId="192" fontId="9" fillId="2" borderId="2" xfId="0" applyNumberFormat="1" applyFont="1" applyFill="1" applyBorder="1" applyAlignment="1">
      <alignment horizontal="center"/>
    </xf>
    <xf numFmtId="172" fontId="31" fillId="4" borderId="0" xfId="0" applyNumberFormat="1" applyFont="1" applyFill="1" applyAlignment="1">
      <alignment horizontal="center"/>
    </xf>
    <xf numFmtId="172" fontId="32" fillId="4" borderId="0" xfId="0" applyNumberFormat="1" applyFont="1" applyFill="1" applyAlignment="1">
      <alignment horizontal="center"/>
    </xf>
    <xf numFmtId="172" fontId="8" fillId="2" borderId="0" xfId="0" applyNumberFormat="1" applyFont="1" applyFill="1" applyAlignment="1">
      <alignment horizontal="center" vertical="center"/>
    </xf>
    <xf numFmtId="166" fontId="35" fillId="2" borderId="0" xfId="1" applyFont="1" applyFill="1" applyBorder="1" applyAlignment="1">
      <alignment horizontal="center"/>
    </xf>
    <xf numFmtId="2" fontId="17" fillId="2" borderId="0" xfId="0" applyNumberFormat="1" applyFont="1" applyFill="1"/>
    <xf numFmtId="0" fontId="17" fillId="2" borderId="0" xfId="0" applyFont="1" applyFill="1"/>
    <xf numFmtId="168" fontId="31" fillId="0" borderId="0" xfId="2" applyNumberFormat="1" applyFont="1" applyAlignment="1">
      <alignment horizontal="center" vertical="center"/>
    </xf>
    <xf numFmtId="0" fontId="32" fillId="0" borderId="0" xfId="0" applyFont="1" applyAlignment="1">
      <alignment horizontal="center" vertical="center"/>
    </xf>
    <xf numFmtId="0" fontId="32" fillId="0" borderId="0" xfId="2" applyNumberFormat="1" applyFont="1" applyBorder="1" applyAlignment="1">
      <alignment horizontal="center" vertical="center"/>
    </xf>
    <xf numFmtId="168" fontId="0" fillId="0" borderId="0" xfId="2" applyNumberFormat="1" applyFont="1" applyAlignment="1">
      <alignment horizontal="center"/>
    </xf>
    <xf numFmtId="168" fontId="32" fillId="0" borderId="0" xfId="2" applyNumberFormat="1" applyFont="1" applyAlignment="1">
      <alignment horizontal="center" vertical="center"/>
    </xf>
    <xf numFmtId="177" fontId="31" fillId="2" borderId="0" xfId="1" applyNumberFormat="1" applyFont="1" applyFill="1" applyAlignment="1">
      <alignment horizontal="center" vertical="center"/>
    </xf>
    <xf numFmtId="177" fontId="32" fillId="2" borderId="0" xfId="1" applyNumberFormat="1" applyFont="1" applyFill="1" applyAlignment="1">
      <alignment horizontal="center" vertical="center"/>
    </xf>
    <xf numFmtId="177" fontId="32" fillId="2" borderId="0" xfId="1" applyNumberFormat="1" applyFont="1" applyFill="1" applyBorder="1" applyAlignment="1">
      <alignment horizontal="center" vertical="center"/>
    </xf>
    <xf numFmtId="172" fontId="31" fillId="2" borderId="0" xfId="0" applyNumberFormat="1" applyFont="1" applyFill="1" applyAlignment="1">
      <alignment horizontal="center"/>
    </xf>
    <xf numFmtId="166" fontId="0" fillId="2" borderId="0" xfId="1" applyFont="1" applyFill="1"/>
    <xf numFmtId="172" fontId="0" fillId="2" borderId="0" xfId="0" applyNumberFormat="1" applyFill="1"/>
    <xf numFmtId="180" fontId="0" fillId="2" borderId="0" xfId="0" applyNumberFormat="1" applyFill="1"/>
    <xf numFmtId="168" fontId="0" fillId="2" borderId="0" xfId="2" applyNumberFormat="1" applyFont="1" applyFill="1"/>
    <xf numFmtId="177" fontId="0" fillId="2" borderId="0" xfId="1" applyNumberFormat="1" applyFont="1" applyFill="1"/>
    <xf numFmtId="0" fontId="8" fillId="3" borderId="2" xfId="0" applyFont="1" applyFill="1" applyBorder="1" applyAlignment="1">
      <alignment horizontal="left" vertical="center"/>
    </xf>
    <xf numFmtId="4" fontId="22" fillId="0" borderId="4" xfId="0" applyNumberFormat="1" applyFont="1" applyBorder="1" applyAlignment="1">
      <alignment horizontal="center" vertical="center"/>
    </xf>
    <xf numFmtId="172" fontId="22" fillId="0" borderId="4" xfId="0" applyNumberFormat="1" applyFont="1" applyBorder="1" applyAlignment="1">
      <alignment horizontal="center" vertical="center"/>
    </xf>
    <xf numFmtId="4" fontId="26" fillId="0" borderId="4" xfId="0" applyNumberFormat="1" applyFont="1" applyBorder="1" applyAlignment="1">
      <alignment horizontal="center" vertical="center"/>
    </xf>
    <xf numFmtId="171" fontId="22" fillId="0" borderId="4" xfId="0" applyNumberFormat="1" applyFont="1" applyBorder="1" applyAlignment="1">
      <alignment horizontal="center" vertical="center"/>
    </xf>
    <xf numFmtId="4" fontId="22" fillId="7" borderId="4" xfId="0" applyNumberFormat="1" applyFont="1" applyFill="1" applyBorder="1" applyAlignment="1">
      <alignment horizontal="center" vertical="center"/>
    </xf>
    <xf numFmtId="172" fontId="57" fillId="0" borderId="9" xfId="0" quotePrefix="1" applyNumberFormat="1" applyFont="1" applyBorder="1" applyAlignment="1">
      <alignment horizontal="center" vertical="center" wrapText="1"/>
    </xf>
    <xf numFmtId="0" fontId="53" fillId="8" borderId="0" xfId="0" applyFont="1" applyFill="1" applyAlignment="1">
      <alignment horizontal="left" vertical="center" indent="1" readingOrder="1"/>
    </xf>
    <xf numFmtId="0" fontId="0" fillId="8" borderId="0" xfId="0" applyFill="1"/>
    <xf numFmtId="0" fontId="31" fillId="2" borderId="0" xfId="0" applyFont="1" applyFill="1" applyAlignment="1">
      <alignment horizontal="center" vertical="center"/>
    </xf>
    <xf numFmtId="0" fontId="4" fillId="4" borderId="0" xfId="0" applyFont="1" applyFill="1"/>
    <xf numFmtId="164" fontId="58" fillId="2" borderId="0" xfId="0" applyNumberFormat="1" applyFont="1" applyFill="1" applyAlignment="1">
      <alignment vertical="center"/>
    </xf>
    <xf numFmtId="164" fontId="58" fillId="0" borderId="0" xfId="0" applyNumberFormat="1" applyFont="1" applyAlignment="1">
      <alignment vertical="center"/>
    </xf>
    <xf numFmtId="177" fontId="31" fillId="9" borderId="0" xfId="1" applyNumberFormat="1" applyFont="1" applyFill="1" applyAlignment="1">
      <alignment horizontal="center" vertical="center"/>
    </xf>
    <xf numFmtId="0" fontId="8" fillId="10" borderId="3" xfId="0" applyFont="1" applyFill="1" applyBorder="1" applyAlignment="1">
      <alignment horizontal="center" vertical="center"/>
    </xf>
    <xf numFmtId="168" fontId="32" fillId="10" borderId="2" xfId="2" applyNumberFormat="1" applyFont="1" applyFill="1" applyBorder="1" applyAlignment="1">
      <alignment horizontal="center"/>
    </xf>
    <xf numFmtId="174" fontId="32" fillId="10" borderId="2" xfId="1" applyNumberFormat="1" applyFont="1" applyFill="1" applyBorder="1" applyAlignment="1">
      <alignment horizontal="center"/>
    </xf>
    <xf numFmtId="166" fontId="5" fillId="0" borderId="2" xfId="1" applyFont="1" applyFill="1" applyBorder="1" applyAlignment="1">
      <alignment horizontal="center" vertical="center"/>
    </xf>
    <xf numFmtId="0" fontId="0" fillId="10" borderId="0" xfId="0" applyFill="1"/>
    <xf numFmtId="172" fontId="0" fillId="10" borderId="0" xfId="0" applyNumberFormat="1" applyFill="1"/>
    <xf numFmtId="168" fontId="0" fillId="10" borderId="0" xfId="2" applyNumberFormat="1" applyFont="1" applyFill="1"/>
    <xf numFmtId="43" fontId="5" fillId="0" borderId="0" xfId="1" applyNumberFormat="1" applyFont="1" applyFill="1" applyBorder="1" applyAlignment="1">
      <alignment horizontal="center"/>
    </xf>
    <xf numFmtId="2" fontId="17" fillId="0" borderId="0" xfId="2" applyNumberFormat="1" applyFont="1" applyAlignment="1">
      <alignment horizontal="left"/>
    </xf>
    <xf numFmtId="0" fontId="59" fillId="0" borderId="0" xfId="0" applyFont="1"/>
    <xf numFmtId="166" fontId="5" fillId="0" borderId="0" xfId="1" applyFont="1" applyFill="1" applyBorder="1" applyAlignment="1">
      <alignment horizontal="center" vertical="center"/>
    </xf>
    <xf numFmtId="2" fontId="1" fillId="0" borderId="0" xfId="2" applyNumberFormat="1" applyFont="1"/>
    <xf numFmtId="164" fontId="10" fillId="0" borderId="0" xfId="0" applyNumberFormat="1" applyFont="1" applyAlignment="1">
      <alignment horizontal="left" vertical="center"/>
    </xf>
    <xf numFmtId="164" fontId="8" fillId="6" borderId="8" xfId="0" applyNumberFormat="1" applyFont="1" applyFill="1" applyBorder="1" applyAlignment="1">
      <alignment horizontal="center" vertical="center" wrapText="1"/>
    </xf>
    <xf numFmtId="164" fontId="8" fillId="6" borderId="6" xfId="0" applyNumberFormat="1" applyFont="1" applyFill="1" applyBorder="1" applyAlignment="1">
      <alignment horizontal="center" vertical="center" wrapText="1"/>
    </xf>
    <xf numFmtId="164" fontId="8" fillId="6" borderId="10" xfId="0" applyNumberFormat="1" applyFont="1" applyFill="1" applyBorder="1" applyAlignment="1">
      <alignment horizontal="center" vertical="center" wrapText="1"/>
    </xf>
    <xf numFmtId="164" fontId="8" fillId="6" borderId="11" xfId="0" applyNumberFormat="1" applyFont="1" applyFill="1" applyBorder="1" applyAlignment="1">
      <alignment horizontal="center" vertical="center" wrapText="1"/>
    </xf>
    <xf numFmtId="164" fontId="8" fillId="6" borderId="0" xfId="0" applyNumberFormat="1" applyFont="1" applyFill="1" applyAlignment="1">
      <alignment horizontal="center" vertical="center" wrapText="1"/>
    </xf>
    <xf numFmtId="164" fontId="8" fillId="6" borderId="12" xfId="0" applyNumberFormat="1" applyFont="1" applyFill="1" applyBorder="1" applyAlignment="1">
      <alignment horizontal="center" vertical="center" wrapText="1"/>
    </xf>
    <xf numFmtId="0" fontId="17" fillId="0" borderId="0" xfId="0" applyFont="1" applyAlignment="1">
      <alignment horizontal="left"/>
    </xf>
    <xf numFmtId="0" fontId="8"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164" fontId="8" fillId="5" borderId="3" xfId="0" applyNumberFormat="1" applyFont="1" applyFill="1" applyBorder="1" applyAlignment="1">
      <alignment horizontal="center" vertical="center" wrapText="1"/>
    </xf>
    <xf numFmtId="164" fontId="8" fillId="5" borderId="5"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165" fontId="8" fillId="5" borderId="1" xfId="0" applyNumberFormat="1" applyFont="1" applyFill="1" applyBorder="1" applyAlignment="1">
      <alignment horizontal="center" vertical="center" wrapText="1"/>
    </xf>
    <xf numFmtId="165" fontId="8" fillId="5" borderId="3" xfId="0" applyNumberFormat="1" applyFont="1" applyFill="1" applyBorder="1" applyAlignment="1">
      <alignment horizontal="center" vertical="center" wrapText="1"/>
    </xf>
    <xf numFmtId="164" fontId="6" fillId="6" borderId="2" xfId="0" applyNumberFormat="1" applyFont="1" applyFill="1" applyBorder="1" applyAlignment="1">
      <alignment horizontal="center" vertical="center"/>
    </xf>
    <xf numFmtId="0" fontId="8" fillId="6" borderId="0" xfId="0" applyFont="1" applyFill="1" applyAlignment="1">
      <alignment horizontal="center" vertical="center"/>
    </xf>
    <xf numFmtId="0" fontId="17" fillId="0" borderId="0" xfId="0" applyFont="1" applyAlignment="1">
      <alignment horizontal="left" vertical="center" wrapText="1"/>
    </xf>
    <xf numFmtId="164" fontId="8" fillId="5" borderId="1"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164" fontId="6" fillId="5" borderId="3" xfId="0" applyNumberFormat="1" applyFont="1" applyFill="1" applyBorder="1" applyAlignment="1">
      <alignment horizontal="center" vertical="center" wrapText="1"/>
    </xf>
    <xf numFmtId="164" fontId="6" fillId="6" borderId="6" xfId="0" applyNumberFormat="1" applyFont="1" applyFill="1" applyBorder="1" applyAlignment="1">
      <alignment horizontal="center" vertical="center"/>
    </xf>
    <xf numFmtId="164" fontId="21" fillId="0" borderId="0" xfId="0" applyNumberFormat="1" applyFont="1" applyAlignment="1">
      <alignment horizontal="left" vertical="center"/>
    </xf>
    <xf numFmtId="0" fontId="5" fillId="0" borderId="0" xfId="0" applyFont="1" applyAlignment="1">
      <alignment horizontal="left" vertical="center" wrapText="1"/>
    </xf>
    <xf numFmtId="0" fontId="6" fillId="6" borderId="0" xfId="0" applyFont="1" applyFill="1" applyAlignment="1">
      <alignment horizontal="center" vertical="center"/>
    </xf>
    <xf numFmtId="0" fontId="8" fillId="6" borderId="2" xfId="0" applyFont="1" applyFill="1" applyBorder="1" applyAlignment="1">
      <alignment horizontal="center" vertical="center" wrapText="1"/>
    </xf>
    <xf numFmtId="0" fontId="9" fillId="0" borderId="2" xfId="0" applyFont="1" applyBorder="1" applyAlignment="1">
      <alignment horizontal="left" vertical="center" wrapText="1"/>
    </xf>
    <xf numFmtId="164" fontId="43" fillId="0" borderId="0" xfId="0" applyNumberFormat="1" applyFont="1" applyAlignment="1">
      <alignment horizontal="left" vertical="center"/>
    </xf>
    <xf numFmtId="0" fontId="45" fillId="5" borderId="14" xfId="0" applyFont="1" applyFill="1" applyBorder="1" applyAlignment="1">
      <alignment horizontal="center" vertical="center"/>
    </xf>
    <xf numFmtId="0" fontId="45" fillId="5" borderId="18" xfId="0" applyFont="1" applyFill="1" applyBorder="1" applyAlignment="1">
      <alignment horizontal="center" vertical="center"/>
    </xf>
    <xf numFmtId="0" fontId="46" fillId="5" borderId="15" xfId="0" applyFont="1" applyFill="1" applyBorder="1" applyAlignment="1">
      <alignment horizontal="center" vertical="center" wrapText="1"/>
    </xf>
    <xf numFmtId="0" fontId="46" fillId="5" borderId="2" xfId="0" applyFont="1" applyFill="1" applyBorder="1" applyAlignment="1">
      <alignment horizontal="center" vertical="center" wrapText="1"/>
    </xf>
    <xf numFmtId="0" fontId="46" fillId="5" borderId="16" xfId="0" applyFont="1" applyFill="1" applyBorder="1" applyAlignment="1">
      <alignment horizontal="center" vertical="center" wrapText="1"/>
    </xf>
    <xf numFmtId="0" fontId="47" fillId="5" borderId="3" xfId="0" applyFont="1" applyFill="1" applyBorder="1" applyAlignment="1">
      <alignment horizontal="center" vertical="center" wrapText="1"/>
    </xf>
    <xf numFmtId="0" fontId="47" fillId="5" borderId="5"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7" fillId="5" borderId="16" xfId="0" applyFont="1" applyFill="1" applyBorder="1" applyAlignment="1">
      <alignment horizontal="center" vertical="center" wrapText="1"/>
    </xf>
    <xf numFmtId="0" fontId="47" fillId="5" borderId="17"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7" fillId="5" borderId="20" xfId="0" applyFont="1" applyFill="1" applyBorder="1" applyAlignment="1">
      <alignment horizontal="center" vertical="center" wrapText="1"/>
    </xf>
    <xf numFmtId="0" fontId="21" fillId="0" borderId="0" xfId="0" applyFont="1" applyAlignment="1">
      <alignment horizontal="left" vertical="center" wrapText="1"/>
    </xf>
    <xf numFmtId="0" fontId="24" fillId="0" borderId="0" xfId="0" applyFont="1" applyAlignment="1">
      <alignment horizontal="center" vertical="center"/>
    </xf>
    <xf numFmtId="0" fontId="8" fillId="3" borderId="2" xfId="0" applyFont="1" applyFill="1" applyBorder="1" applyAlignment="1">
      <alignment horizontal="center" vertical="center" wrapText="1"/>
    </xf>
  </cellXfs>
  <cellStyles count="11">
    <cellStyle name="Millares" xfId="1" builtinId="3"/>
    <cellStyle name="Millares 10" xfId="3" xr:uid="{00000000-0005-0000-0000-000001000000}"/>
    <cellStyle name="Millares 10 2" xfId="9" xr:uid="{00000000-0005-0000-0000-000002000000}"/>
    <cellStyle name="Millares 10 4" xfId="7" xr:uid="{00000000-0005-0000-0000-000003000000}"/>
    <cellStyle name="Millares 2 2" xfId="6" xr:uid="{00000000-0005-0000-0000-000004000000}"/>
    <cellStyle name="Millares 8" xfId="5" xr:uid="{00000000-0005-0000-0000-000005000000}"/>
    <cellStyle name="Moneda" xfId="8" builtinId="4"/>
    <cellStyle name="Moneda 2" xfId="10" xr:uid="{00000000-0005-0000-0000-000007000000}"/>
    <cellStyle name="Normal" xfId="0" builtinId="0"/>
    <cellStyle name="Normal 3" xfId="4" xr:uid="{00000000-0005-0000-0000-000009000000}"/>
    <cellStyle name="Porcentaje" xfId="2" builtinId="5"/>
  </cellStyles>
  <dxfs count="0"/>
  <tableStyles count="0" defaultTableStyle="TableStyleMedium2" defaultPivotStyle="PivotStyleLight16"/>
  <colors>
    <mruColors>
      <color rgb="FF000F9F"/>
      <color rgb="FFFFFFFF"/>
      <color rgb="FFC8A977"/>
      <color rgb="FF3CB4E5"/>
      <color rgb="FFBC2400"/>
      <color rgb="FF000099"/>
      <color rgb="FF0B1C3A"/>
      <color rgb="FF375818"/>
      <color rgb="FF031434"/>
      <color rgb="FF91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AR" sz="1400" b="1" i="0" baseline="0">
                <a:solidFill>
                  <a:schemeClr val="tx1"/>
                </a:solidFill>
                <a:effectLst/>
                <a:latin typeface="Arial Narrow" panose="020B0606020202030204" pitchFamily="34" charset="0"/>
              </a:rPr>
              <a:t>DEUDA TOTAL ADMINISTRACIÓN CENTRAL MEDIDA EN TÉRMINOS REALES Y EN DÓLARES</a:t>
            </a:r>
            <a:endParaRPr lang="es-AR" sz="1400">
              <a:solidFill>
                <a:schemeClr val="tx1"/>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Deuda en Millones de $ de Mar-25 (Eje Izq.) y en Millones de USD (Eje Der.)</a:t>
            </a:r>
            <a:endParaRPr lang="es-AR" sz="1200">
              <a:solidFill>
                <a:srgbClr val="000F9F"/>
              </a:solidFill>
              <a:effectLst/>
              <a:latin typeface="Arial Narrow" panose="020B0606020202030204" pitchFamily="34" charset="0"/>
            </a:endParaRPr>
          </a:p>
          <a:p>
            <a:pPr algn="l">
              <a:defRPr/>
            </a:pPr>
            <a:r>
              <a:rPr lang="es-AR" sz="1200" b="0" i="0" baseline="0">
                <a:solidFill>
                  <a:srgbClr val="000F9F"/>
                </a:solidFill>
                <a:effectLst/>
                <a:latin typeface="Arial Narrow" panose="020B0606020202030204" pitchFamily="34" charset="0"/>
              </a:rPr>
              <a:t>Fuente: DGDP, BCRA, DEIE</a:t>
            </a:r>
            <a:endParaRPr lang="es-AR" sz="1200">
              <a:solidFill>
                <a:srgbClr val="000F9F"/>
              </a:solidFill>
              <a:effectLst/>
              <a:latin typeface="Arial Narrow" panose="020B0606020202030204" pitchFamily="34" charset="0"/>
            </a:endParaRPr>
          </a:p>
        </c:rich>
      </c:tx>
      <c:layout>
        <c:manualLayout>
          <c:xMode val="edge"/>
          <c:yMode val="edge"/>
          <c:x val="1.2628787878787859E-2"/>
          <c:y val="2.565656565656565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9.8462062978785916E-2"/>
          <c:y val="0.22714873737373736"/>
          <c:w val="0.82580079359459535"/>
          <c:h val="0.56070151515151512"/>
        </c:manualLayout>
      </c:layout>
      <c:lineChart>
        <c:grouping val="standard"/>
        <c:varyColors val="0"/>
        <c:ser>
          <c:idx val="0"/>
          <c:order val="0"/>
          <c:tx>
            <c:v>Deuda Total Adm Central en $ Mar-25</c:v>
          </c:tx>
          <c:spPr>
            <a:ln w="19050" cap="rnd">
              <a:solidFill>
                <a:srgbClr val="000F9F"/>
              </a:solidFill>
              <a:round/>
            </a:ln>
            <a:effectLst/>
          </c:spPr>
          <c:marker>
            <c:symbol val="none"/>
          </c:marker>
          <c:cat>
            <c:numRef>
              <c:f>'Evolución Deuda Total'!$B$4:$AT$4</c:f>
              <c:numCache>
                <c:formatCode>mmm\-yy</c:formatCode>
                <c:ptCount val="4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45656</c:v>
                </c:pt>
                <c:pt idx="44">
                  <c:v>45747</c:v>
                </c:pt>
              </c:numCache>
            </c:numRef>
          </c:cat>
          <c:val>
            <c:numRef>
              <c:f>'Evolución Deuda Total'!$B$9:$AT$9</c:f>
              <c:numCache>
                <c:formatCode>#,##0.00</c:formatCode>
                <c:ptCount val="45"/>
                <c:pt idx="0">
                  <c:v>1706720.8352535279</c:v>
                </c:pt>
                <c:pt idx="1">
                  <c:v>1642896.5996118176</c:v>
                </c:pt>
                <c:pt idx="2">
                  <c:v>1578164.805730985</c:v>
                </c:pt>
                <c:pt idx="3">
                  <c:v>1639863.1789719907</c:v>
                </c:pt>
                <c:pt idx="4">
                  <c:v>1413457.314625622</c:v>
                </c:pt>
                <c:pt idx="5">
                  <c:v>1519896.3880417098</c:v>
                </c:pt>
                <c:pt idx="6">
                  <c:v>1508975.4179746693</c:v>
                </c:pt>
                <c:pt idx="7">
                  <c:v>2236396.8715255274</c:v>
                </c:pt>
                <c:pt idx="8">
                  <c:v>1755459.8721504952</c:v>
                </c:pt>
                <c:pt idx="9">
                  <c:v>2301616.2200376266</c:v>
                </c:pt>
                <c:pt idx="10">
                  <c:v>2362759.4067205256</c:v>
                </c:pt>
                <c:pt idx="11">
                  <c:v>2404512.1267047799</c:v>
                </c:pt>
                <c:pt idx="12">
                  <c:v>2181790.1718239426</c:v>
                </c:pt>
                <c:pt idx="13">
                  <c:v>2584510.7258372339</c:v>
                </c:pt>
                <c:pt idx="14">
                  <c:v>2489391.6485436754</c:v>
                </c:pt>
                <c:pt idx="15">
                  <c:v>2411041.9623234128</c:v>
                </c:pt>
                <c:pt idx="16">
                  <c:v>2404429.7852581288</c:v>
                </c:pt>
                <c:pt idx="17">
                  <c:v>2595061.9392511891</c:v>
                </c:pt>
                <c:pt idx="18">
                  <c:v>2631966.7076110435</c:v>
                </c:pt>
                <c:pt idx="19">
                  <c:v>2440258.9277567691</c:v>
                </c:pt>
                <c:pt idx="20">
                  <c:v>2322293.1844534324</c:v>
                </c:pt>
                <c:pt idx="21">
                  <c:v>2282560.4009867595</c:v>
                </c:pt>
                <c:pt idx="22">
                  <c:v>2452667.6911596307</c:v>
                </c:pt>
                <c:pt idx="23">
                  <c:v>2423032.1855078046</c:v>
                </c:pt>
                <c:pt idx="24">
                  <c:v>2194953.0480844621</c:v>
                </c:pt>
                <c:pt idx="25">
                  <c:v>2279951.6169043747</c:v>
                </c:pt>
                <c:pt idx="26">
                  <c:v>2281917.5288972291</c:v>
                </c:pt>
                <c:pt idx="27">
                  <c:v>2458065.1368026906</c:v>
                </c:pt>
                <c:pt idx="28">
                  <c:v>2107218.1090659476</c:v>
                </c:pt>
                <c:pt idx="29">
                  <c:v>1935174.7044062694</c:v>
                </c:pt>
                <c:pt idx="30">
                  <c:v>1924530.3489385999</c:v>
                </c:pt>
                <c:pt idx="31">
                  <c:v>2072256.0935131533</c:v>
                </c:pt>
                <c:pt idx="32">
                  <c:v>1631820.0896765448</c:v>
                </c:pt>
                <c:pt idx="33">
                  <c:v>1564753.0119969288</c:v>
                </c:pt>
                <c:pt idx="34">
                  <c:v>1438419.2982991382</c:v>
                </c:pt>
                <c:pt idx="35">
                  <c:v>1651713.2428940132</c:v>
                </c:pt>
                <c:pt idx="36">
                  <c:v>1209091.4814238755</c:v>
                </c:pt>
                <c:pt idx="37">
                  <c:v>1189889.2151090195</c:v>
                </c:pt>
                <c:pt idx="38">
                  <c:v>1191105.3597879086</c:v>
                </c:pt>
                <c:pt idx="39">
                  <c:v>1474908.0797094086</c:v>
                </c:pt>
                <c:pt idx="40">
                  <c:v>991207.49709377508</c:v>
                </c:pt>
                <c:pt idx="41">
                  <c:v>896062.594197397</c:v>
                </c:pt>
                <c:pt idx="42">
                  <c:v>804816.24131842062</c:v>
                </c:pt>
                <c:pt idx="43">
                  <c:v>937446.99126616388</c:v>
                </c:pt>
                <c:pt idx="44">
                  <c:v>759822.62826909486</c:v>
                </c:pt>
              </c:numCache>
            </c:numRef>
          </c:val>
          <c:smooth val="0"/>
          <c:extLst>
            <c:ext xmlns:c16="http://schemas.microsoft.com/office/drawing/2014/chart" uri="{C3380CC4-5D6E-409C-BE32-E72D297353CC}">
              <c16:uniqueId val="{00000000-E0DF-4B4F-8EAA-1F218C763922}"/>
            </c:ext>
          </c:extLst>
        </c:ser>
        <c:dLbls>
          <c:showLegendKey val="0"/>
          <c:showVal val="0"/>
          <c:showCatName val="0"/>
          <c:showSerName val="0"/>
          <c:showPercent val="0"/>
          <c:showBubbleSize val="0"/>
        </c:dLbls>
        <c:marker val="1"/>
        <c:smooth val="0"/>
        <c:axId val="-303967920"/>
        <c:axId val="-303969008"/>
      </c:lineChart>
      <c:lineChart>
        <c:grouping val="standard"/>
        <c:varyColors val="0"/>
        <c:ser>
          <c:idx val="1"/>
          <c:order val="1"/>
          <c:tx>
            <c:v>Deuda Total Adm Central en USD (Eje Der)</c:v>
          </c:tx>
          <c:spPr>
            <a:ln w="19050" cap="rnd">
              <a:solidFill>
                <a:srgbClr val="3CB4E5"/>
              </a:solidFill>
              <a:round/>
            </a:ln>
            <a:effectLst/>
          </c:spPr>
          <c:marker>
            <c:symbol val="none"/>
          </c:marker>
          <c:cat>
            <c:numRef>
              <c:f>'Evolución Deuda Total'!$B$4:$AT$4</c:f>
              <c:numCache>
                <c:formatCode>mmm\-yy</c:formatCode>
                <c:ptCount val="4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pt idx="25">
                  <c:v>44012</c:v>
                </c:pt>
                <c:pt idx="26">
                  <c:v>44104</c:v>
                </c:pt>
                <c:pt idx="27">
                  <c:v>44196</c:v>
                </c:pt>
                <c:pt idx="28">
                  <c:v>44286</c:v>
                </c:pt>
                <c:pt idx="29">
                  <c:v>44377</c:v>
                </c:pt>
                <c:pt idx="30">
                  <c:v>44469</c:v>
                </c:pt>
                <c:pt idx="31">
                  <c:v>44561</c:v>
                </c:pt>
                <c:pt idx="32">
                  <c:v>44651</c:v>
                </c:pt>
                <c:pt idx="33">
                  <c:v>44742</c:v>
                </c:pt>
                <c:pt idx="34">
                  <c:v>44834</c:v>
                </c:pt>
                <c:pt idx="35">
                  <c:v>44926</c:v>
                </c:pt>
                <c:pt idx="36">
                  <c:v>45016</c:v>
                </c:pt>
                <c:pt idx="37">
                  <c:v>45107</c:v>
                </c:pt>
                <c:pt idx="38">
                  <c:v>45199</c:v>
                </c:pt>
                <c:pt idx="39">
                  <c:v>45291</c:v>
                </c:pt>
                <c:pt idx="40">
                  <c:v>45382</c:v>
                </c:pt>
                <c:pt idx="41">
                  <c:v>45473</c:v>
                </c:pt>
                <c:pt idx="42">
                  <c:v>45565</c:v>
                </c:pt>
                <c:pt idx="43">
                  <c:v>45656</c:v>
                </c:pt>
                <c:pt idx="44">
                  <c:v>45747</c:v>
                </c:pt>
              </c:numCache>
            </c:numRef>
          </c:cat>
          <c:val>
            <c:numRef>
              <c:f>'Evolución Deuda Total'!$B$11:$AT$11</c:f>
              <c:numCache>
                <c:formatCode>#,##0.00</c:formatCode>
                <c:ptCount val="45"/>
                <c:pt idx="0">
                  <c:v>1198.0060980561311</c:v>
                </c:pt>
                <c:pt idx="1">
                  <c:v>1236.2989741438882</c:v>
                </c:pt>
                <c:pt idx="2">
                  <c:v>1214.2376852143709</c:v>
                </c:pt>
                <c:pt idx="3">
                  <c:v>1322.6856137114128</c:v>
                </c:pt>
                <c:pt idx="4">
                  <c:v>1161.440776354071</c:v>
                </c:pt>
                <c:pt idx="5">
                  <c:v>1284.3857329323723</c:v>
                </c:pt>
                <c:pt idx="6">
                  <c:v>1296.7956207809582</c:v>
                </c:pt>
                <c:pt idx="7">
                  <c:v>1487.2257882157555</c:v>
                </c:pt>
                <c:pt idx="8">
                  <c:v>1186.5068563914328</c:v>
                </c:pt>
                <c:pt idx="9">
                  <c:v>1686.5652731506366</c:v>
                </c:pt>
                <c:pt idx="10">
                  <c:v>1767.2638008660335</c:v>
                </c:pt>
                <c:pt idx="11">
                  <c:v>1820.5741236959532</c:v>
                </c:pt>
                <c:pt idx="12">
                  <c:v>1808.1787795455841</c:v>
                </c:pt>
                <c:pt idx="13">
                  <c:v>2091.8664489172725</c:v>
                </c:pt>
                <c:pt idx="14">
                  <c:v>2029.2965637817033</c:v>
                </c:pt>
                <c:pt idx="15">
                  <c:v>1923.8160416107323</c:v>
                </c:pt>
                <c:pt idx="16">
                  <c:v>1906.8874457626976</c:v>
                </c:pt>
                <c:pt idx="17">
                  <c:v>1561.8680580314178</c:v>
                </c:pt>
                <c:pt idx="18">
                  <c:v>1275.3649271383476</c:v>
                </c:pt>
                <c:pt idx="19">
                  <c:v>1427.4429920198836</c:v>
                </c:pt>
                <c:pt idx="20">
                  <c:v>1324.8426762725608</c:v>
                </c:pt>
                <c:pt idx="21">
                  <c:v>1456.06595329073</c:v>
                </c:pt>
                <c:pt idx="22">
                  <c:v>1298.7633279145018</c:v>
                </c:pt>
                <c:pt idx="23">
                  <c:v>1377.625793813218</c:v>
                </c:pt>
                <c:pt idx="24">
                  <c:v>1249.7074659407217</c:v>
                </c:pt>
                <c:pt idx="25">
                  <c:v>1250.6493763069705</c:v>
                </c:pt>
                <c:pt idx="26">
                  <c:v>1245.5093239823298</c:v>
                </c:pt>
                <c:pt idx="27">
                  <c:v>1353.1157961328599</c:v>
                </c:pt>
                <c:pt idx="28">
                  <c:v>1198.165322817955</c:v>
                </c:pt>
                <c:pt idx="29">
                  <c:v>1173.3892580683216</c:v>
                </c:pt>
                <c:pt idx="30">
                  <c:v>1236.2607775559195</c:v>
                </c:pt>
                <c:pt idx="31">
                  <c:v>1408.5738472361979</c:v>
                </c:pt>
                <c:pt idx="32">
                  <c:v>1192.0072095918158</c:v>
                </c:pt>
                <c:pt idx="33">
                  <c:v>1188.423046679211</c:v>
                </c:pt>
                <c:pt idx="34">
                  <c:v>1133.2682816595877</c:v>
                </c:pt>
                <c:pt idx="35">
                  <c:v>1268.388710513058</c:v>
                </c:pt>
                <c:pt idx="36">
                  <c:v>957.68267949680569</c:v>
                </c:pt>
                <c:pt idx="37">
                  <c:v>950.52011217489417</c:v>
                </c:pt>
                <c:pt idx="38">
                  <c:v>939.57982004744997</c:v>
                </c:pt>
                <c:pt idx="39">
                  <c:v>772.21285700382805</c:v>
                </c:pt>
                <c:pt idx="40">
                  <c:v>741.53641085319362</c:v>
                </c:pt>
                <c:pt idx="41">
                  <c:v>747.56802170814649</c:v>
                </c:pt>
                <c:pt idx="42">
                  <c:v>707.20334820747019</c:v>
                </c:pt>
                <c:pt idx="43">
                  <c:v>836.61770355451813</c:v>
                </c:pt>
                <c:pt idx="44">
                  <c:v>707.55220884096832</c:v>
                </c:pt>
              </c:numCache>
            </c:numRef>
          </c:val>
          <c:smooth val="0"/>
          <c:extLst>
            <c:ext xmlns:c16="http://schemas.microsoft.com/office/drawing/2014/chart" uri="{C3380CC4-5D6E-409C-BE32-E72D297353CC}">
              <c16:uniqueId val="{00000001-E0DF-4B4F-8EAA-1F218C763922}"/>
            </c:ext>
          </c:extLst>
        </c:ser>
        <c:dLbls>
          <c:showLegendKey val="0"/>
          <c:showVal val="0"/>
          <c:showCatName val="0"/>
          <c:showSerName val="0"/>
          <c:showPercent val="0"/>
          <c:showBubbleSize val="0"/>
        </c:dLbls>
        <c:marker val="1"/>
        <c:smooth val="0"/>
        <c:axId val="-303978800"/>
        <c:axId val="-303979888"/>
      </c:lineChart>
      <c:dateAx>
        <c:axId val="-303967920"/>
        <c:scaling>
          <c:orientation val="minMax"/>
        </c:scaling>
        <c:delete val="0"/>
        <c:axPos val="b"/>
        <c:numFmt formatCode="mmm\-yy" sourceLinked="1"/>
        <c:majorTickMark val="in"/>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9008"/>
        <c:crosses val="autoZero"/>
        <c:auto val="1"/>
        <c:lblOffset val="100"/>
        <c:baseTimeUnit val="months"/>
        <c:majorUnit val="3"/>
        <c:majorTimeUnit val="months"/>
      </c:dateAx>
      <c:valAx>
        <c:axId val="-3039690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Pesos</a:t>
                </a:r>
                <a:r>
                  <a:rPr lang="es-AR" sz="1100" b="0" baseline="0">
                    <a:solidFill>
                      <a:schemeClr val="tx1"/>
                    </a:solidFill>
                    <a:latin typeface="Arial Narrow" panose="020B0606020202030204" pitchFamily="34" charset="0"/>
                  </a:rPr>
                  <a:t> Mar - 25</a:t>
                </a:r>
                <a:endParaRPr lang="es-AR" sz="1100" b="0">
                  <a:solidFill>
                    <a:schemeClr val="tx1"/>
                  </a:solidFill>
                  <a:latin typeface="Arial Narrow" panose="020B0606020202030204" pitchFamily="34" charset="0"/>
                </a:endParaRPr>
              </a:p>
            </c:rich>
          </c:tx>
          <c:layout>
            <c:manualLayout>
              <c:xMode val="edge"/>
              <c:yMode val="edge"/>
              <c:x val="7.1891835016835021E-3"/>
              <c:y val="0.311435101010101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67920"/>
        <c:crosses val="autoZero"/>
        <c:crossBetween val="between"/>
      </c:valAx>
      <c:valAx>
        <c:axId val="-303979888"/>
        <c:scaling>
          <c:orientation val="minMax"/>
          <c:max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100" b="0">
                    <a:solidFill>
                      <a:schemeClr val="tx1"/>
                    </a:solidFill>
                    <a:latin typeface="Arial Narrow" panose="020B0606020202030204" pitchFamily="34" charset="0"/>
                  </a:rPr>
                  <a:t>Millones de USD</a:t>
                </a:r>
              </a:p>
            </c:rich>
          </c:tx>
          <c:layout>
            <c:manualLayout>
              <c:xMode val="edge"/>
              <c:yMode val="edge"/>
              <c:x val="0.96926557239057243"/>
              <c:y val="0.3420626262626262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8800"/>
        <c:crosses val="max"/>
        <c:crossBetween val="between"/>
      </c:valAx>
      <c:dateAx>
        <c:axId val="-303978800"/>
        <c:scaling>
          <c:orientation val="minMax"/>
        </c:scaling>
        <c:delete val="1"/>
        <c:axPos val="b"/>
        <c:numFmt formatCode="mmm\-yy" sourceLinked="1"/>
        <c:majorTickMark val="out"/>
        <c:minorTickMark val="none"/>
        <c:tickLblPos val="nextTo"/>
        <c:crossAx val="-303979888"/>
        <c:crosses val="autoZero"/>
        <c:auto val="1"/>
        <c:lblOffset val="100"/>
        <c:baseTimeUnit val="months"/>
      </c:dateAx>
      <c:spPr>
        <a:noFill/>
        <a:ln>
          <a:noFill/>
        </a:ln>
        <a:effectLst/>
      </c:spPr>
    </c:plotArea>
    <c:legend>
      <c:legendPos val="b"/>
      <c:layout>
        <c:manualLayout>
          <c:xMode val="edge"/>
          <c:yMode val="edge"/>
          <c:x val="0.19972327441077445"/>
          <c:y val="0.92197045454545457"/>
          <c:w val="0.60589846380471379"/>
          <c:h val="5.87871212121212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3CB4E5"/>
            </a:solidFill>
            <a:ln w="9525" cap="flat" cmpd="sng" algn="ctr">
              <a:solidFill>
                <a:schemeClr val="accent1">
                  <a:shade val="95000"/>
                </a:schemeClr>
              </a:solidFill>
              <a:round/>
            </a:ln>
            <a:effectLst>
              <a:outerShdw blurRad="50800" dist="38100" dir="2700000" algn="tl" rotWithShape="0">
                <a:prstClr val="black">
                  <a:alpha val="40000"/>
                </a:prstClr>
              </a:outerShdw>
            </a:effectLst>
          </c:spPr>
          <c:invertIfNegative val="0"/>
          <c:dLbls>
            <c:dLbl>
              <c:idx val="0"/>
              <c:tx>
                <c:rich>
                  <a:bodyPr/>
                  <a:lstStyle/>
                  <a:p>
                    <a:fld id="{3117B7C9-9CEA-4B9E-BDC0-A2C5C7D94A0C}"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51C-4B65-8868-D98EA4DEDC88}"/>
                </c:ext>
              </c:extLst>
            </c:dLbl>
            <c:dLbl>
              <c:idx val="1"/>
              <c:tx>
                <c:rich>
                  <a:bodyPr/>
                  <a:lstStyle/>
                  <a:p>
                    <a:fld id="{8CC6265D-DA5F-4C34-9EDE-EE03B37002F9}"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51C-4B65-8868-D98EA4DEDC88}"/>
                </c:ext>
              </c:extLst>
            </c:dLbl>
            <c:dLbl>
              <c:idx val="2"/>
              <c:tx>
                <c:rich>
                  <a:bodyPr/>
                  <a:lstStyle/>
                  <a:p>
                    <a:fld id="{D352B63C-6F53-47FA-BB22-31126881D7C9}"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51C-4B65-8868-D98EA4DEDC88}"/>
                </c:ext>
              </c:extLst>
            </c:dLbl>
            <c:dLbl>
              <c:idx val="3"/>
              <c:tx>
                <c:rich>
                  <a:bodyPr/>
                  <a:lstStyle/>
                  <a:p>
                    <a:fld id="{18AA057E-0AD0-47C6-A407-D0EE4F162E71}"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51C-4B65-8868-D98EA4DEDC88}"/>
                </c:ext>
              </c:extLst>
            </c:dLbl>
            <c:dLbl>
              <c:idx val="4"/>
              <c:tx>
                <c:rich>
                  <a:bodyPr/>
                  <a:lstStyle/>
                  <a:p>
                    <a:fld id="{2E55A0EB-F182-4B62-B7EB-353FBC78118B}"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51C-4B65-8868-D98EA4DEDC88}"/>
                </c:ext>
              </c:extLst>
            </c:dLbl>
            <c:dLbl>
              <c:idx val="5"/>
              <c:tx>
                <c:rich>
                  <a:bodyPr/>
                  <a:lstStyle/>
                  <a:p>
                    <a:fld id="{354FB824-D305-4538-9830-0F725C0140C1}"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51C-4B65-8868-D98EA4DEDC8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3CB4E5"/>
                    </a:solidFill>
                    <a:latin typeface="Arial Narrow" panose="020B0606020202030204" pitchFamily="34" charset="0"/>
                    <a:ea typeface="+mn-ea"/>
                    <a:cs typeface="+mn-cs"/>
                  </a:defRPr>
                </a:pPr>
                <a:endParaRPr lang="es-A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'Base Graf'!$A$7:$A$14</c15:sqref>
                  </c15:fullRef>
                </c:ext>
              </c:extLst>
              <c:f>'Base Graf'!$A$9:$A$14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70628.112626046117</c:v>
                </c:pt>
                <c:pt idx="1">
                  <c:v>100781.22347882173</c:v>
                </c:pt>
                <c:pt idx="2">
                  <c:v>19121.253800239192</c:v>
                </c:pt>
                <c:pt idx="3">
                  <c:v>7844.0208254031058</c:v>
                </c:pt>
                <c:pt idx="4">
                  <c:v>1150.1622998650691</c:v>
                </c:pt>
                <c:pt idx="5">
                  <c:v>212.81056355716242</c:v>
                </c:pt>
              </c:numCache>
            </c:numRef>
          </c:val>
          <c:extLst>
            <c:ext xmlns:c15="http://schemas.microsoft.com/office/drawing/2012/chart" uri="{02D57815-91ED-43cb-92C2-25804820EDAC}">
              <c15:datalabelsRange>
                <c15:f>'Base Graf'!$BJ$58:$BJ$65</c15:f>
                <c15:dlblRangeCache>
                  <c:ptCount val="8"/>
                  <c:pt idx="0">
                    <c:v>57.379,1</c:v>
                  </c:pt>
                  <c:pt idx="1">
                    <c:v>54.826,9</c:v>
                  </c:pt>
                  <c:pt idx="2">
                    <c:v>70.628,1</c:v>
                  </c:pt>
                  <c:pt idx="3">
                    <c:v>100.781,2</c:v>
                  </c:pt>
                  <c:pt idx="4">
                    <c:v>19.121,3</c:v>
                  </c:pt>
                  <c:pt idx="5">
                    <c:v>7.844,0</c:v>
                  </c:pt>
                  <c:pt idx="6">
                    <c:v>1.150,2</c:v>
                  </c:pt>
                  <c:pt idx="7">
                    <c:v>212,8</c:v>
                  </c:pt>
                </c15:dlblRangeCache>
              </c15:datalabelsRange>
            </c:ext>
            <c:ext xmlns:c16="http://schemas.microsoft.com/office/drawing/2014/chart" uri="{C3380CC4-5D6E-409C-BE32-E72D297353CC}">
              <c16:uniqueId val="{00000000-878D-47D6-B4CE-04C99EEB5BB2}"/>
            </c:ext>
          </c:extLst>
        </c:ser>
        <c:dLbls>
          <c:showLegendKey val="0"/>
          <c:showVal val="0"/>
          <c:showCatName val="0"/>
          <c:showSerName val="0"/>
          <c:showPercent val="0"/>
          <c:showBubbleSize val="0"/>
        </c:dLbls>
        <c:gapWidth val="100"/>
        <c:overlap val="-24"/>
        <c:axId val="-303978256"/>
        <c:axId val="-303972272"/>
      </c:barChart>
      <c:catAx>
        <c:axId val="-3039782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2272"/>
        <c:crosses val="autoZero"/>
        <c:auto val="1"/>
        <c:lblAlgn val="ctr"/>
        <c:lblOffset val="100"/>
        <c:noMultiLvlLbl val="0"/>
      </c:catAx>
      <c:valAx>
        <c:axId val="-303972272"/>
        <c:scaling>
          <c:orientation val="minMax"/>
        </c:scaling>
        <c:delete val="1"/>
        <c:axPos val="l"/>
        <c:numFmt formatCode="#,##0.0" sourceLinked="1"/>
        <c:majorTickMark val="none"/>
        <c:minorTickMark val="none"/>
        <c:tickLblPos val="nextTo"/>
        <c:crossAx val="-30397825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550161812297733E-2"/>
          <c:y val="4.5838897766461155E-2"/>
          <c:w val="0.94976627112549439"/>
          <c:h val="0.80644861745028107"/>
        </c:manualLayout>
      </c:layout>
      <c:barChart>
        <c:barDir val="col"/>
        <c:grouping val="clustered"/>
        <c:varyColors val="0"/>
        <c:ser>
          <c:idx val="0"/>
          <c:order val="0"/>
          <c:spPr>
            <a:solidFill>
              <a:srgbClr val="000F9F"/>
            </a:solidFill>
            <a:ln w="9525" cap="flat" cmpd="sng" algn="ctr">
              <a:solidFill>
                <a:srgbClr val="000F9F"/>
              </a:solidFill>
              <a:round/>
            </a:ln>
            <a:effectLst>
              <a:outerShdw blurRad="50800" dist="38100" dir="2700000" algn="tl" rotWithShape="0">
                <a:prstClr val="black">
                  <a:alpha val="40000"/>
                </a:prstClr>
              </a:outerShdw>
            </a:effectLst>
          </c:spPr>
          <c:invertIfNegative val="0"/>
          <c:dLbls>
            <c:dLbl>
              <c:idx val="0"/>
              <c:tx>
                <c:rich>
                  <a:bodyPr/>
                  <a:lstStyle/>
                  <a:p>
                    <a:fld id="{68BF6464-7ECC-49E1-BD57-6AC97071AA83}"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C0B-4228-9EEA-87911CF39C82}"/>
                </c:ext>
              </c:extLst>
            </c:dLbl>
            <c:dLbl>
              <c:idx val="1"/>
              <c:tx>
                <c:rich>
                  <a:bodyPr/>
                  <a:lstStyle/>
                  <a:p>
                    <a:fld id="{7A962758-DFD5-4BCD-9B76-3C1ED03BFE64}"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C0B-4228-9EEA-87911CF39C82}"/>
                </c:ext>
              </c:extLst>
            </c:dLbl>
            <c:dLbl>
              <c:idx val="2"/>
              <c:tx>
                <c:rich>
                  <a:bodyPr/>
                  <a:lstStyle/>
                  <a:p>
                    <a:fld id="{6A128E3F-4467-42E9-9C19-B5893B6137CB}"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C0B-4228-9EEA-87911CF39C82}"/>
                </c:ext>
              </c:extLst>
            </c:dLbl>
            <c:dLbl>
              <c:idx val="3"/>
              <c:tx>
                <c:rich>
                  <a:bodyPr/>
                  <a:lstStyle/>
                  <a:p>
                    <a:fld id="{BD0F6962-4E69-4BBB-8EEC-56D7ADE7E54B}"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C0B-4228-9EEA-87911CF39C82}"/>
                </c:ext>
              </c:extLst>
            </c:dLbl>
            <c:dLbl>
              <c:idx val="4"/>
              <c:tx>
                <c:rich>
                  <a:bodyPr/>
                  <a:lstStyle/>
                  <a:p>
                    <a:fld id="{28612CC7-FDE1-4D2F-87FF-878521220043}"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C0B-4228-9EEA-87911CF39C82}"/>
                </c:ext>
              </c:extLst>
            </c:dLbl>
            <c:dLbl>
              <c:idx val="5"/>
              <c:tx>
                <c:rich>
                  <a:bodyPr/>
                  <a:lstStyle/>
                  <a:p>
                    <a:fld id="{5B3D9EE4-CC5A-46EC-BCB5-5C9F7D4C3F75}" type="CELLRANGE">
                      <a:rPr lang="es-AR"/>
                      <a:pPr/>
                      <a:t>[CELLRANGE]</a:t>
                    </a:fld>
                    <a:endParaRPr lang="es-AR"/>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C0B-4228-9EEA-87911CF39C8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0F9F"/>
                    </a:solidFill>
                    <a:latin typeface="Arial Narrow" panose="020B0606020202030204" pitchFamily="34" charset="0"/>
                    <a:ea typeface="+mn-ea"/>
                    <a:cs typeface="+mn-cs"/>
                  </a:defRPr>
                </a:pPr>
                <a:endParaRPr lang="es-AR"/>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'Base Graf'!$A$7:$A$14</c15:sqref>
                  </c15:fullRef>
                </c:ext>
              </c:extLst>
              <c:f>'Base Graf'!$A$9:$A$14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129.23331412624663</c:v>
                </c:pt>
                <c:pt idx="1">
                  <c:v>117.491488189704</c:v>
                </c:pt>
                <c:pt idx="2">
                  <c:v>111.47422789990381</c:v>
                </c:pt>
                <c:pt idx="3">
                  <c:v>105.58295986861528</c:v>
                </c:pt>
                <c:pt idx="4">
                  <c:v>59.771379347654303</c:v>
                </c:pt>
                <c:pt idx="5">
                  <c:v>12.703251589753044</c:v>
                </c:pt>
              </c:numCache>
            </c:numRef>
          </c:val>
          <c:extLst>
            <c:ext xmlns:c15="http://schemas.microsoft.com/office/drawing/2012/chart" uri="{02D57815-91ED-43cb-92C2-25804820EDAC}">
              <c15:datalabelsRange>
                <c15:f>'Base Graf'!$BK$58:$BK$65</c15:f>
                <c15:dlblRangeCache>
                  <c:ptCount val="8"/>
                  <c:pt idx="0">
                    <c:v>130,1</c:v>
                  </c:pt>
                  <c:pt idx="1">
                    <c:v>130,7</c:v>
                  </c:pt>
                  <c:pt idx="2">
                    <c:v>129,2</c:v>
                  </c:pt>
                  <c:pt idx="3">
                    <c:v>117,5</c:v>
                  </c:pt>
                  <c:pt idx="4">
                    <c:v>111,5</c:v>
                  </c:pt>
                  <c:pt idx="5">
                    <c:v>105,6</c:v>
                  </c:pt>
                  <c:pt idx="6">
                    <c:v>59,8</c:v>
                  </c:pt>
                  <c:pt idx="7">
                    <c:v>12,7</c:v>
                  </c:pt>
                </c15:dlblRangeCache>
              </c15:datalabelsRange>
            </c:ext>
            <c:ext xmlns:c16="http://schemas.microsoft.com/office/drawing/2014/chart" uri="{C3380CC4-5D6E-409C-BE32-E72D297353CC}">
              <c16:uniqueId val="{00000000-BF89-4AD5-9BE4-C86A2A9F84E7}"/>
            </c:ext>
          </c:extLst>
        </c:ser>
        <c:dLbls>
          <c:showLegendKey val="0"/>
          <c:showVal val="0"/>
          <c:showCatName val="0"/>
          <c:showSerName val="0"/>
          <c:showPercent val="0"/>
          <c:showBubbleSize val="0"/>
        </c:dLbls>
        <c:gapWidth val="100"/>
        <c:overlap val="-24"/>
        <c:axId val="-303975536"/>
        <c:axId val="-303977712"/>
      </c:barChart>
      <c:catAx>
        <c:axId val="-3039755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7712"/>
        <c:crosses val="autoZero"/>
        <c:auto val="1"/>
        <c:lblAlgn val="ctr"/>
        <c:lblOffset val="100"/>
        <c:noMultiLvlLbl val="0"/>
      </c:catAx>
      <c:valAx>
        <c:axId val="-303977712"/>
        <c:scaling>
          <c:orientation val="minMax"/>
        </c:scaling>
        <c:delete val="1"/>
        <c:axPos val="l"/>
        <c:numFmt formatCode="#,##0.0" sourceLinked="1"/>
        <c:majorTickMark val="none"/>
        <c:minorTickMark val="none"/>
        <c:tickLblPos val="nextTo"/>
        <c:crossAx val="-3039755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900501073729421E-2"/>
          <c:y val="8.0706934562532626E-2"/>
          <c:w val="0.93809951881014875"/>
          <c:h val="0.71862560839815826"/>
        </c:manualLayout>
      </c:layout>
      <c:barChart>
        <c:barDir val="col"/>
        <c:grouping val="stacked"/>
        <c:varyColors val="0"/>
        <c:ser>
          <c:idx val="0"/>
          <c:order val="0"/>
          <c:tx>
            <c:v>Capital</c:v>
          </c:tx>
          <c:spPr>
            <a:solidFill>
              <a:srgbClr val="000F9F"/>
            </a:solidFill>
            <a:ln>
              <a:noFill/>
            </a:ln>
            <a:effectLst>
              <a:outerShdw blurRad="50800" dist="38100" dir="2700000" algn="tl" rotWithShape="0">
                <a:prstClr val="black">
                  <a:alpha val="40000"/>
                </a:prstClr>
              </a:outerShdw>
            </a:effectLst>
          </c:spPr>
          <c:invertIfNegative val="0"/>
          <c:dLbls>
            <c:dLbl>
              <c:idx val="0"/>
              <c:tx>
                <c:rich>
                  <a:bodyPr/>
                  <a:lstStyle/>
                  <a:p>
                    <a:fld id="{F14C88AF-6E37-4F20-A3D4-24C27F58B317}" type="CELLRANGE">
                      <a:rPr lang="es-A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005-4C07-9E4C-E647D2CBD2CC}"/>
                </c:ext>
              </c:extLst>
            </c:dLbl>
            <c:dLbl>
              <c:idx val="1"/>
              <c:tx>
                <c:rich>
                  <a:bodyPr/>
                  <a:lstStyle/>
                  <a:p>
                    <a:fld id="{9B803850-BAC3-4F4F-B55E-E70183FC6645}" type="CELLRANGE">
                      <a:rPr lang="es-A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005-4C07-9E4C-E647D2CBD2CC}"/>
                </c:ext>
              </c:extLst>
            </c:dLbl>
            <c:dLbl>
              <c:idx val="2"/>
              <c:layout>
                <c:manualLayout>
                  <c:x val="-2.2833513124775259E-3"/>
                  <c:y val="-1.7845372344378753E-2"/>
                </c:manualLayout>
              </c:layout>
              <c:tx>
                <c:rich>
                  <a:bodyPr/>
                  <a:lstStyle/>
                  <a:p>
                    <a:fld id="{EA13F5D9-811D-47CA-AA2B-19ACCCFE3B0B}" type="CELLRANGE">
                      <a:rPr lang="en-US" sz="1050" b="1">
                        <a:solidFill>
                          <a:schemeClr val="bg1"/>
                        </a:solidFill>
                      </a:rPr>
                      <a:pPr/>
                      <a:t>[CELLRANGE]</a:t>
                    </a:fld>
                    <a:endParaRPr lang="es-A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005-4C07-9E4C-E647D2CBD2CC}"/>
                </c:ext>
              </c:extLst>
            </c:dLbl>
            <c:dLbl>
              <c:idx val="3"/>
              <c:layout>
                <c:manualLayout>
                  <c:x val="4.5667026249549686E-3"/>
                  <c:y val="-5.094263939029281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02AF4ADF-8FD5-43AF-8D69-7AA2EA7C20B5}"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005-4C07-9E4C-E647D2CBD2CC}"/>
                </c:ext>
              </c:extLst>
            </c:dLbl>
            <c:dLbl>
              <c:idx val="4"/>
              <c:layout>
                <c:manualLayout>
                  <c:x val="-2.2833513124776933E-3"/>
                  <c:y val="-5.0942639390292817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EDB4A853-BAF0-40FE-9828-19261DC3006B}"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005-4C07-9E4C-E647D2CBD2CC}"/>
                </c:ext>
              </c:extLst>
            </c:dLbl>
            <c:dLbl>
              <c:idx val="5"/>
              <c:layout>
                <c:manualLayout>
                  <c:x val="4.5667026249550519E-3"/>
                  <c:y val="-5.5187859339484044E-2"/>
                </c:manualLayout>
              </c:layout>
              <c:tx>
                <c:rich>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fld id="{1A0F877C-0430-4063-9BA1-D2F7C799FA71}" type="CELLRANGE">
                      <a:rPr lang="en-US"/>
                      <a:pPr>
                        <a:defRPr sz="1050" b="1">
                          <a:solidFill>
                            <a:srgbClr val="000099"/>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0099"/>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005-4C07-9E4C-E647D2CBD2C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Graf'!$H$7:$H$14</c15:sqref>
                  </c15:fullRef>
                </c:ext>
              </c:extLst>
              <c:f>'Base Graf'!$H$9:$H$14</c:f>
              <c:numCache>
                <c:formatCode>#,##0.0</c:formatCode>
                <c:ptCount val="6"/>
                <c:pt idx="0">
                  <c:v>45952.702007692766</c:v>
                </c:pt>
                <c:pt idx="1">
                  <c:v>82479.700773650649</c:v>
                </c:pt>
                <c:pt idx="2">
                  <c:v>16299.200435718163</c:v>
                </c:pt>
                <c:pt idx="3">
                  <c:v>7651.9185476981656</c:v>
                </c:pt>
                <c:pt idx="4">
                  <c:v>1011.4741032537194</c:v>
                </c:pt>
                <c:pt idx="5">
                  <c:v>185.96730601911199</c:v>
                </c:pt>
              </c:numCache>
            </c:numRef>
          </c:val>
          <c:extLst>
            <c:ext xmlns:c15="http://schemas.microsoft.com/office/drawing/2012/chart" uri="{02D57815-91ED-43cb-92C2-25804820EDAC}">
              <c15:datalabelsRange>
                <c15:f>'Base Graf'!$BI$95:$BI$102</c15:f>
                <c15:dlblRangeCache>
                  <c:ptCount val="8"/>
                  <c:pt idx="0">
                    <c:v>49,8%</c:v>
                  </c:pt>
                  <c:pt idx="1">
                    <c:v>66,8%</c:v>
                  </c:pt>
                  <c:pt idx="2">
                    <c:v>65,1%</c:v>
                  </c:pt>
                  <c:pt idx="3">
                    <c:v>81,8%</c:v>
                  </c:pt>
                  <c:pt idx="4">
                    <c:v>85,2%</c:v>
                  </c:pt>
                  <c:pt idx="5">
                    <c:v>97,6%</c:v>
                  </c:pt>
                  <c:pt idx="6">
                    <c:v>87,9%</c:v>
                  </c:pt>
                  <c:pt idx="7">
                    <c:v>87,4%</c:v>
                  </c:pt>
                </c15:dlblRangeCache>
              </c15:datalabelsRange>
            </c:ext>
            <c:ext xmlns:c16="http://schemas.microsoft.com/office/drawing/2014/chart" uri="{C3380CC4-5D6E-409C-BE32-E72D297353CC}">
              <c16:uniqueId val="{00000000-EC2A-4692-91BA-595E276D28C4}"/>
            </c:ext>
          </c:extLst>
        </c:ser>
        <c:ser>
          <c:idx val="1"/>
          <c:order val="1"/>
          <c:tx>
            <c:v>Interés</c:v>
          </c:tx>
          <c:spPr>
            <a:solidFill>
              <a:srgbClr val="3CB4E5"/>
            </a:solidFill>
            <a:ln>
              <a:noFill/>
            </a:ln>
            <a:effectLst>
              <a:outerShdw blurRad="50800" dist="38100" dir="2700000" algn="tl" rotWithShape="0">
                <a:prstClr val="black">
                  <a:alpha val="40000"/>
                </a:prstClr>
              </a:outerShdw>
            </a:effectLst>
          </c:spPr>
          <c:invertIfNegative val="0"/>
          <c:dLbls>
            <c:dLbl>
              <c:idx val="0"/>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fld id="{E927BBB0-6ECB-4B85-BBFE-E5F706AE4D35}" type="CELLRANGE">
                      <a:rPr lang="es-AR"/>
                      <a:pPr>
                        <a:defRPr sz="1100" b="1">
                          <a:solidFill>
                            <a:schemeClr val="bg1"/>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5005-4C07-9E4C-E647D2CBD2CC}"/>
                </c:ext>
              </c:extLst>
            </c:dLbl>
            <c:dLbl>
              <c:idx val="1"/>
              <c:layout>
                <c:manualLayout>
                  <c:x val="0"/>
                  <c:y val="2.5161890624153145E-3"/>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2E8E92F4-BCFB-4BBC-9AD6-35FFF9575314}" type="CELLRANGE">
                      <a:rPr lang="en-US">
                        <a:solidFill>
                          <a:schemeClr val="bg1"/>
                        </a:solidFill>
                      </a:rPr>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005-4C07-9E4C-E647D2CBD2CC}"/>
                </c:ext>
              </c:extLst>
            </c:dLbl>
            <c:dLbl>
              <c:idx val="2"/>
              <c:layout>
                <c:manualLayout>
                  <c:x val="-4.5667026249550519E-3"/>
                  <c:y val="-6.4666350993607527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559CBA58-A0EC-401D-951A-2DE3CF5E51E8}"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005-4C07-9E4C-E647D2CBD2CC}"/>
                </c:ext>
              </c:extLst>
            </c:dLbl>
            <c:dLbl>
              <c:idx val="3"/>
              <c:layout>
                <c:manualLayout>
                  <c:x val="-4.5667026249550519E-3"/>
                  <c:y val="-0.10637738551956399"/>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21D69B03-F097-43A6-A2FE-3EFB665E0192}"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005-4C07-9E4C-E647D2CBD2CC}"/>
                </c:ext>
              </c:extLst>
            </c:dLbl>
            <c:dLbl>
              <c:idx val="4"/>
              <c:layout>
                <c:manualLayout>
                  <c:x val="-6.8500539374325778E-3"/>
                  <c:y val="-0.11037571867896785"/>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6C46BD3C-F08A-4360-AD3F-057B6E39A860}"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5005-4C07-9E4C-E647D2CBD2CC}"/>
                </c:ext>
              </c:extLst>
            </c:dLbl>
            <c:dLbl>
              <c:idx val="5"/>
              <c:layout>
                <c:manualLayout>
                  <c:x val="-1.6744382858962218E-16"/>
                  <c:y val="-0.11462093862815885"/>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25EA997F-3EA9-4BC5-AD9B-1428179C5D5B}"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5005-4C07-9E4C-E647D2CBD2C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es-A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Graf'!$K$7:$K$14</c15:sqref>
                  </c15:fullRef>
                </c:ext>
              </c:extLst>
              <c:f>'Base Graf'!$K$9:$K$14</c:f>
              <c:numCache>
                <c:formatCode>#,##0.0</c:formatCode>
                <c:ptCount val="6"/>
                <c:pt idx="0">
                  <c:v>24675.410618353348</c:v>
                </c:pt>
                <c:pt idx="1">
                  <c:v>18301.522705171104</c:v>
                </c:pt>
                <c:pt idx="2">
                  <c:v>2822.0533645210271</c:v>
                </c:pt>
                <c:pt idx="3">
                  <c:v>192.10227770494021</c:v>
                </c:pt>
                <c:pt idx="4">
                  <c:v>138.6881966113497</c:v>
                </c:pt>
                <c:pt idx="5">
                  <c:v>26.843257538050434</c:v>
                </c:pt>
              </c:numCache>
            </c:numRef>
          </c:val>
          <c:extLst>
            <c:ext xmlns:c15="http://schemas.microsoft.com/office/drawing/2012/chart" uri="{02D57815-91ED-43cb-92C2-25804820EDAC}">
              <c15:datalabelsRange>
                <c15:f>'Base Graf'!$BJ$95:$BJ$102</c15:f>
                <c15:dlblRangeCache>
                  <c:ptCount val="8"/>
                  <c:pt idx="0">
                    <c:v>50,2%</c:v>
                  </c:pt>
                  <c:pt idx="1">
                    <c:v>33,2%</c:v>
                  </c:pt>
                  <c:pt idx="2">
                    <c:v>34,9%</c:v>
                  </c:pt>
                  <c:pt idx="3">
                    <c:v>18,2%</c:v>
                  </c:pt>
                  <c:pt idx="4">
                    <c:v>14,8%</c:v>
                  </c:pt>
                  <c:pt idx="5">
                    <c:v>2,4%</c:v>
                  </c:pt>
                  <c:pt idx="6">
                    <c:v>12,1%</c:v>
                  </c:pt>
                  <c:pt idx="7">
                    <c:v>12,6%</c:v>
                  </c:pt>
                </c15:dlblRangeCache>
              </c15:datalabelsRange>
            </c:ext>
            <c:ext xmlns:c15="http://schemas.microsoft.com/office/drawing/2012/chart" uri="{02D57815-91ED-43cb-92C2-25804820EDAC}">
              <c15:categoryFilterExceptions>
                <c15:categoryFilterException>
                  <c15:sqref>'Base Graf'!$K$7</c15:sqref>
                  <c15:dLbl>
                    <c:idx val="-1"/>
                    <c:delete val="1"/>
                    <c:extLst>
                      <c:ext uri="{CE6537A1-D6FC-4f65-9D91-7224C49458BB}"/>
                      <c:ext xmlns:c16="http://schemas.microsoft.com/office/drawing/2014/chart" uri="{C3380CC4-5D6E-409C-BE32-E72D297353CC}">
                        <c16:uniqueId val="{00000000-78F2-4AFC-97E4-7D6B242845A0}"/>
                      </c:ext>
                    </c:extLst>
                  </c15:dLbl>
                </c15:categoryFilterException>
                <c15:categoryFilterException>
                  <c15:sqref>'Base Graf'!$K$8</c15:sqref>
                  <c15:dLbl>
                    <c:idx val="-1"/>
                    <c:delete val="1"/>
                    <c:extLst>
                      <c:ext uri="{CE6537A1-D6FC-4f65-9D91-7224C49458BB}"/>
                      <c:ext xmlns:c16="http://schemas.microsoft.com/office/drawing/2014/chart" uri="{C3380CC4-5D6E-409C-BE32-E72D297353CC}">
                        <c16:uniqueId val="{00000001-78F2-4AFC-97E4-7D6B242845A0}"/>
                      </c:ext>
                    </c:extLst>
                  </c15:dLbl>
                </c15:categoryFilterException>
              </c15:categoryFilterExceptions>
            </c:ext>
            <c:ext xmlns:c16="http://schemas.microsoft.com/office/drawing/2014/chart" uri="{C3380CC4-5D6E-409C-BE32-E72D297353CC}">
              <c16:uniqueId val="{00000001-EC2A-4692-91BA-595E276D28C4}"/>
            </c:ext>
          </c:extLst>
        </c:ser>
        <c:dLbls>
          <c:showLegendKey val="0"/>
          <c:showVal val="0"/>
          <c:showCatName val="0"/>
          <c:showSerName val="0"/>
          <c:showPercent val="0"/>
          <c:showBubbleSize val="0"/>
        </c:dLbls>
        <c:gapWidth val="50"/>
        <c:overlap val="100"/>
        <c:axId val="-303976080"/>
        <c:axId val="-303974448"/>
      </c:barChart>
      <c:lineChart>
        <c:grouping val="standard"/>
        <c:varyColors val="0"/>
        <c:ser>
          <c:idx val="2"/>
          <c:order val="2"/>
          <c:spPr>
            <a:ln w="28575" cap="rnd">
              <a:solidFill>
                <a:srgbClr val="FFFFFF">
                  <a:alpha val="0"/>
                </a:srgbClr>
              </a:solidFill>
              <a:round/>
            </a:ln>
            <a:effectLst/>
          </c:spPr>
          <c:marker>
            <c:symbol val="none"/>
          </c:marker>
          <c:dLbls>
            <c:dLbl>
              <c:idx val="0"/>
              <c:tx>
                <c:rich>
                  <a:bodyPr/>
                  <a:lstStyle/>
                  <a:p>
                    <a:fld id="{ABF5C06D-9140-4DE6-94A3-3C0ED9D27853}"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005-4C07-9E4C-E647D2CBD2CC}"/>
                </c:ext>
              </c:extLst>
            </c:dLbl>
            <c:dLbl>
              <c:idx val="1"/>
              <c:layout>
                <c:manualLayout>
                  <c:x val="-5.2876663070837909E-2"/>
                  <c:y val="-0.13793789276641263"/>
                </c:manualLayout>
              </c:layout>
              <c:tx>
                <c:rich>
                  <a:bodyPr/>
                  <a:lstStyle/>
                  <a:p>
                    <a:fld id="{35151132-8F91-487C-8D68-A2C027539648}"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5005-4C07-9E4C-E647D2CBD2CC}"/>
                </c:ext>
              </c:extLst>
            </c:dLbl>
            <c:dLbl>
              <c:idx val="2"/>
              <c:layout>
                <c:manualLayout>
                  <c:x val="-5.05933117583603E-2"/>
                  <c:y val="-0.18039009225832331"/>
                </c:manualLayout>
              </c:layout>
              <c:tx>
                <c:rich>
                  <a:bodyPr/>
                  <a:lstStyle/>
                  <a:p>
                    <a:fld id="{6CB1A877-2DA3-4847-BDC3-BD1E5E98F38A}"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005-4C07-9E4C-E647D2CBD2CC}"/>
                </c:ext>
              </c:extLst>
            </c:dLbl>
            <c:dLbl>
              <c:idx val="3"/>
              <c:layout>
                <c:manualLayout>
                  <c:x val="-5.9726717008270487E-2"/>
                  <c:y val="-0.18463531220751436"/>
                </c:manualLayout>
              </c:layout>
              <c:tx>
                <c:rich>
                  <a:bodyPr/>
                  <a:lstStyle/>
                  <a:p>
                    <a:fld id="{D21962F2-10B3-44D4-A220-B9FDFEFA5BA0}"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005-4C07-9E4C-E647D2CBD2CC}"/>
                </c:ext>
              </c:extLst>
            </c:dLbl>
            <c:dLbl>
              <c:idx val="4"/>
              <c:layout>
                <c:manualLayout>
                  <c:x val="-5.1929162171880622E-2"/>
                  <c:y val="-0.18888053215670553"/>
                </c:manualLayout>
              </c:layout>
              <c:tx>
                <c:rich>
                  <a:bodyPr/>
                  <a:lstStyle/>
                  <a:p>
                    <a:fld id="{867550E2-C360-40FA-BC7E-BE368AF4F4B0}"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5005-4C07-9E4C-E647D2CBD2CC}"/>
                </c:ext>
              </c:extLst>
            </c:dLbl>
            <c:dLbl>
              <c:idx val="5"/>
              <c:layout>
                <c:manualLayout>
                  <c:x val="-5.4212513484358148E-2"/>
                  <c:y val="-0.2058614119534698"/>
                </c:manualLayout>
              </c:layout>
              <c:tx>
                <c:rich>
                  <a:bodyPr/>
                  <a:lstStyle/>
                  <a:p>
                    <a:fld id="{E0276738-3871-481A-A34C-CA59E16FBD49}"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5005-4C07-9E4C-E647D2CBD2C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70628.112626046117</c:v>
                </c:pt>
                <c:pt idx="1">
                  <c:v>100781.22347882173</c:v>
                </c:pt>
                <c:pt idx="2">
                  <c:v>19121.253800239192</c:v>
                </c:pt>
                <c:pt idx="3">
                  <c:v>7844.0208254031058</c:v>
                </c:pt>
                <c:pt idx="4">
                  <c:v>1150.1622998650691</c:v>
                </c:pt>
                <c:pt idx="5">
                  <c:v>212.81056355716242</c:v>
                </c:pt>
              </c:numCache>
            </c:numRef>
          </c:val>
          <c:smooth val="0"/>
          <c:extLst>
            <c:ext xmlns:c15="http://schemas.microsoft.com/office/drawing/2012/chart" uri="{02D57815-91ED-43cb-92C2-25804820EDAC}">
              <c15:datalabelsRange>
                <c15:f>'Base Graf'!$BH$95:$BH$102</c15:f>
                <c15:dlblRangeCache>
                  <c:ptCount val="8"/>
                  <c:pt idx="0">
                    <c:v>57.379,1</c:v>
                  </c:pt>
                  <c:pt idx="1">
                    <c:v>54.826,9</c:v>
                  </c:pt>
                  <c:pt idx="2">
                    <c:v>70.628,1</c:v>
                  </c:pt>
                  <c:pt idx="3">
                    <c:v>100.781,2</c:v>
                  </c:pt>
                  <c:pt idx="4">
                    <c:v>19.121,3</c:v>
                  </c:pt>
                  <c:pt idx="5">
                    <c:v>7.844,0</c:v>
                  </c:pt>
                  <c:pt idx="6">
                    <c:v>1.150,2</c:v>
                  </c:pt>
                  <c:pt idx="7">
                    <c:v>212,8</c:v>
                  </c:pt>
                </c15:dlblRangeCache>
              </c15:datalabelsRange>
            </c:ext>
            <c:ext xmlns:c16="http://schemas.microsoft.com/office/drawing/2014/chart" uri="{C3380CC4-5D6E-409C-BE32-E72D297353CC}">
              <c16:uniqueId val="{00000010-EC2A-4692-91BA-595E276D28C4}"/>
            </c:ext>
          </c:extLst>
        </c:ser>
        <c:dLbls>
          <c:showLegendKey val="0"/>
          <c:showVal val="0"/>
          <c:showCatName val="0"/>
          <c:showSerName val="0"/>
          <c:showPercent val="0"/>
          <c:showBubbleSize val="0"/>
        </c:dLbls>
        <c:marker val="1"/>
        <c:smooth val="0"/>
        <c:axId val="-303976080"/>
        <c:axId val="-303974448"/>
      </c:lineChart>
      <c:catAx>
        <c:axId val="-303976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4448"/>
        <c:crosses val="autoZero"/>
        <c:auto val="1"/>
        <c:lblAlgn val="ctr"/>
        <c:lblOffset val="100"/>
        <c:noMultiLvlLbl val="0"/>
      </c:catAx>
      <c:valAx>
        <c:axId val="-303974448"/>
        <c:scaling>
          <c:orientation val="minMax"/>
        </c:scaling>
        <c:delete val="1"/>
        <c:axPos val="l"/>
        <c:numFmt formatCode="#,##0.0" sourceLinked="1"/>
        <c:majorTickMark val="none"/>
        <c:minorTickMark val="none"/>
        <c:tickLblPos val="nextTo"/>
        <c:crossAx val="-303976080"/>
        <c:crosses val="autoZero"/>
        <c:crossBetween val="between"/>
      </c:valAx>
      <c:spPr>
        <a:noFill/>
        <a:ln w="25400">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90057533261417E-2"/>
          <c:y val="6.6712516516938269E-2"/>
          <c:w val="0.93809951881014875"/>
          <c:h val="0.68753578601594878"/>
        </c:manualLayout>
      </c:layout>
      <c:barChart>
        <c:barDir val="col"/>
        <c:grouping val="stacked"/>
        <c:varyColors val="0"/>
        <c:ser>
          <c:idx val="0"/>
          <c:order val="0"/>
          <c:tx>
            <c:v>Capital</c:v>
          </c:tx>
          <c:spPr>
            <a:solidFill>
              <a:srgbClr val="000F9F"/>
            </a:solidFill>
            <a:ln>
              <a:noFill/>
            </a:ln>
            <a:effectLst>
              <a:outerShdw blurRad="50800" dist="38100" dir="2700000" algn="tl" rotWithShape="0">
                <a:prstClr val="black">
                  <a:alpha val="40000"/>
                </a:prstClr>
              </a:outerShdw>
            </a:effectLst>
          </c:spPr>
          <c:invertIfNegative val="0"/>
          <c:dLbls>
            <c:dLbl>
              <c:idx val="0"/>
              <c:tx>
                <c:rich>
                  <a:bodyPr/>
                  <a:lstStyle/>
                  <a:p>
                    <a:fld id="{4E109000-7238-4BC9-89A9-09651F9B68F5}"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140-4B30-B6B5-CD5039A72F85}"/>
                </c:ext>
              </c:extLst>
            </c:dLbl>
            <c:dLbl>
              <c:idx val="1"/>
              <c:tx>
                <c:rich>
                  <a:bodyPr/>
                  <a:lstStyle/>
                  <a:p>
                    <a:fld id="{A15A0506-8003-4E90-8B58-7177411C3E38}"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140-4B30-B6B5-CD5039A72F85}"/>
                </c:ext>
              </c:extLst>
            </c:dLbl>
            <c:dLbl>
              <c:idx val="2"/>
              <c:tx>
                <c:rich>
                  <a:bodyPr/>
                  <a:lstStyle/>
                  <a:p>
                    <a:fld id="{C131A1E9-8366-413E-9E19-65ECBDE2AD1A}"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140-4B30-B6B5-CD5039A72F85}"/>
                </c:ext>
              </c:extLst>
            </c:dLbl>
            <c:dLbl>
              <c:idx val="3"/>
              <c:tx>
                <c:rich>
                  <a:bodyPr/>
                  <a:lstStyle/>
                  <a:p>
                    <a:fld id="{EEBD4A18-2B7E-4F40-8224-8F8F78BF1453}"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140-4B30-B6B5-CD5039A72F85}"/>
                </c:ext>
              </c:extLst>
            </c:dLbl>
            <c:dLbl>
              <c:idx val="4"/>
              <c:tx>
                <c:rich>
                  <a:bodyPr/>
                  <a:lstStyle/>
                  <a:p>
                    <a:fld id="{EDEB70EC-3E61-493B-9BA6-FEB1DDEE6370}"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140-4B30-B6B5-CD5039A72F85}"/>
                </c:ext>
              </c:extLst>
            </c:dLbl>
            <c:dLbl>
              <c:idx val="5"/>
              <c:tx>
                <c:rich>
                  <a:bodyPr/>
                  <a:lstStyle/>
                  <a:p>
                    <a:fld id="{764DD1C7-5725-4EAE-BAEB-5DCCA4F69A08}"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Graf'!$I$7:$I$14</c15:sqref>
                  </c15:fullRef>
                </c:ext>
              </c:extLst>
              <c:f>'Base Graf'!$I$9:$I$14</c:f>
              <c:numCache>
                <c:formatCode>#,##0.0</c:formatCode>
                <c:ptCount val="6"/>
                <c:pt idx="0">
                  <c:v>97.944727691720786</c:v>
                </c:pt>
                <c:pt idx="1">
                  <c:v>93.588200038435261</c:v>
                </c:pt>
                <c:pt idx="2">
                  <c:v>93.588532118435253</c:v>
                </c:pt>
                <c:pt idx="3">
                  <c:v>93.588868168435255</c:v>
                </c:pt>
                <c:pt idx="4">
                  <c:v>53.741438997666023</c:v>
                </c:pt>
                <c:pt idx="5">
                  <c:v>10.326127043125618</c:v>
                </c:pt>
              </c:numCache>
            </c:numRef>
          </c:val>
          <c:extLst>
            <c:ext xmlns:c15="http://schemas.microsoft.com/office/drawing/2012/chart" uri="{02D57815-91ED-43cb-92C2-25804820EDAC}">
              <c15:datalabelsRange>
                <c15:f>'Base Graf'!$BP$114:$BP$121</c15:f>
                <c15:dlblRangeCache>
                  <c:ptCount val="8"/>
                  <c:pt idx="0">
                    <c:v>73,8%</c:v>
                  </c:pt>
                  <c:pt idx="1">
                    <c:v>73,5%</c:v>
                  </c:pt>
                  <c:pt idx="2">
                    <c:v>75,8%</c:v>
                  </c:pt>
                  <c:pt idx="3">
                    <c:v>79,7%</c:v>
                  </c:pt>
                  <c:pt idx="4">
                    <c:v>84,0%</c:v>
                  </c:pt>
                  <c:pt idx="5">
                    <c:v>88,6%</c:v>
                  </c:pt>
                  <c:pt idx="6">
                    <c:v>89,9%</c:v>
                  </c:pt>
                  <c:pt idx="7">
                    <c:v>81,3%</c:v>
                  </c:pt>
                </c15:dlblRangeCache>
              </c15:datalabelsRange>
            </c:ext>
            <c:ext xmlns:c16="http://schemas.microsoft.com/office/drawing/2014/chart" uri="{C3380CC4-5D6E-409C-BE32-E72D297353CC}">
              <c16:uniqueId val="{00000007-F070-4C4C-A8F3-25B5D6BC95A0}"/>
            </c:ext>
          </c:extLst>
        </c:ser>
        <c:ser>
          <c:idx val="1"/>
          <c:order val="1"/>
          <c:tx>
            <c:v>Interés</c:v>
          </c:tx>
          <c:spPr>
            <a:solidFill>
              <a:srgbClr val="3CB4E5"/>
            </a:solidFill>
            <a:ln>
              <a:noFill/>
            </a:ln>
            <a:effectLst>
              <a:outerShdw blurRad="50800" dist="38100" dir="2700000" algn="tl" rotWithShape="0">
                <a:prstClr val="black">
                  <a:alpha val="40000"/>
                </a:prstClr>
              </a:outerShdw>
            </a:effectLst>
          </c:spPr>
          <c:invertIfNegative val="0"/>
          <c:dLbls>
            <c:dLbl>
              <c:idx val="0"/>
              <c:tx>
                <c:rich>
                  <a:bodyPr/>
                  <a:lstStyle/>
                  <a:p>
                    <a:fld id="{221E5179-C735-4D40-A7C5-F0D1D08D1AB0}"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140-4B30-B6B5-CD5039A72F85}"/>
                </c:ext>
              </c:extLst>
            </c:dLbl>
            <c:dLbl>
              <c:idx val="1"/>
              <c:tx>
                <c:rich>
                  <a:bodyPr/>
                  <a:lstStyle/>
                  <a:p>
                    <a:fld id="{26ABB1B0-3B0A-4AEE-BF1F-D0A97D02FC9A}"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140-4B30-B6B5-CD5039A72F85}"/>
                </c:ext>
              </c:extLst>
            </c:dLbl>
            <c:dLbl>
              <c:idx val="2"/>
              <c:tx>
                <c:rich>
                  <a:bodyPr/>
                  <a:lstStyle/>
                  <a:p>
                    <a:fld id="{6C731E69-43E1-4583-AE77-7E353054175D}"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140-4B30-B6B5-CD5039A72F85}"/>
                </c:ext>
              </c:extLst>
            </c:dLbl>
            <c:dLbl>
              <c:idx val="3"/>
              <c:tx>
                <c:rich>
                  <a:bodyPr/>
                  <a:lstStyle/>
                  <a:p>
                    <a:fld id="{B02C67C8-2C66-4DE0-9073-023870215CB9}" type="CELLRANGE">
                      <a:rPr lang="es-AR"/>
                      <a:pPr/>
                      <a:t>[CELLRANGE]</a:t>
                    </a:fld>
                    <a:endParaRPr lang="es-AR"/>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140-4B30-B6B5-CD5039A72F85}"/>
                </c:ext>
              </c:extLst>
            </c:dLbl>
            <c:dLbl>
              <c:idx val="4"/>
              <c:layout>
                <c:manualLayout>
                  <c:x val="-1.6744382858962218E-16"/>
                  <c:y val="-5.9433079288674959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44BEBF76-5686-4865-855B-A9DD3D2BA038}"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F140-4B30-B6B5-CD5039A72F85}"/>
                </c:ext>
              </c:extLst>
            </c:dLbl>
            <c:dLbl>
              <c:idx val="5"/>
              <c:layout>
                <c:manualLayout>
                  <c:x val="0"/>
                  <c:y val="-4.6697419441101673E-2"/>
                </c:manualLayout>
              </c:layout>
              <c:tx>
                <c:rich>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fld id="{AD5C887C-C073-4D00-B3B7-D78BAC6AD2F2}" type="CELLRANGE">
                      <a:rPr lang="en-US"/>
                      <a:pPr>
                        <a:defRPr sz="1100" b="1">
                          <a:solidFill>
                            <a:srgbClr val="3CB4E5"/>
                          </a:solidFill>
                        </a:defRPr>
                      </a:pPr>
                      <a:t>[CELLRANGE]</a:t>
                    </a:fld>
                    <a:endParaRPr lang="es-AR"/>
                  </a:p>
                </c:rich>
              </c:tx>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3CB4E5"/>
                      </a:solidFill>
                      <a:latin typeface="+mn-lt"/>
                      <a:ea typeface="+mn-ea"/>
                      <a:cs typeface="+mn-cs"/>
                    </a:defRPr>
                  </a:pPr>
                  <a:endParaRPr lang="es-AR"/>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AR"/>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Graf'!$L$7:$L$14</c15:sqref>
                  </c15:fullRef>
                </c:ext>
              </c:extLst>
              <c:f>'Base Graf'!$L$9:$L$14</c:f>
              <c:numCache>
                <c:formatCode>#,##0.0</c:formatCode>
                <c:ptCount val="6"/>
                <c:pt idx="0">
                  <c:v>31.288586434525826</c:v>
                </c:pt>
                <c:pt idx="1">
                  <c:v>23.90328815126875</c:v>
                </c:pt>
                <c:pt idx="2">
                  <c:v>17.885695781468549</c:v>
                </c:pt>
                <c:pt idx="3">
                  <c:v>11.994091700180022</c:v>
                </c:pt>
                <c:pt idx="4">
                  <c:v>6.02994034998828</c:v>
                </c:pt>
                <c:pt idx="5">
                  <c:v>2.3771245466274253</c:v>
                </c:pt>
              </c:numCache>
            </c:numRef>
          </c:val>
          <c:extLst>
            <c:ext xmlns:c15="http://schemas.microsoft.com/office/drawing/2012/chart" uri="{02D57815-91ED-43cb-92C2-25804820EDAC}">
              <c15:datalabelsRange>
                <c15:f>'Base Graf'!$BQ$114:$BQ$121</c15:f>
                <c15:dlblRangeCache>
                  <c:ptCount val="8"/>
                  <c:pt idx="0">
                    <c:v>26,2%</c:v>
                  </c:pt>
                  <c:pt idx="1">
                    <c:v>26,5%</c:v>
                  </c:pt>
                  <c:pt idx="2">
                    <c:v>24,2%</c:v>
                  </c:pt>
                  <c:pt idx="3">
                    <c:v>20,3%</c:v>
                  </c:pt>
                  <c:pt idx="4">
                    <c:v>16,0%</c:v>
                  </c:pt>
                  <c:pt idx="5">
                    <c:v>11,4%</c:v>
                  </c:pt>
                  <c:pt idx="6">
                    <c:v>10,1%</c:v>
                  </c:pt>
                  <c:pt idx="7">
                    <c:v>18,7%</c:v>
                  </c:pt>
                </c15:dlblRangeCache>
              </c15:datalabelsRange>
            </c:ext>
            <c:ext xmlns:c16="http://schemas.microsoft.com/office/drawing/2014/chart" uri="{C3380CC4-5D6E-409C-BE32-E72D297353CC}">
              <c16:uniqueId val="{0000000F-F070-4C4C-A8F3-25B5D6BC95A0}"/>
            </c:ext>
          </c:extLst>
        </c:ser>
        <c:dLbls>
          <c:dLblPos val="ctr"/>
          <c:showLegendKey val="0"/>
          <c:showVal val="1"/>
          <c:showCatName val="0"/>
          <c:showSerName val="0"/>
          <c:showPercent val="0"/>
          <c:showBubbleSize val="0"/>
        </c:dLbls>
        <c:gapWidth val="50"/>
        <c:overlap val="100"/>
        <c:axId val="-303972816"/>
        <c:axId val="-303973904"/>
      </c:barChart>
      <c:lineChart>
        <c:grouping val="standard"/>
        <c:varyColors val="0"/>
        <c:ser>
          <c:idx val="2"/>
          <c:order val="2"/>
          <c:spPr>
            <a:ln w="28575" cap="rnd">
              <a:solidFill>
                <a:schemeClr val="tx1">
                  <a:alpha val="0"/>
                </a:schemeClr>
              </a:solidFill>
              <a:round/>
            </a:ln>
            <a:effectLst/>
          </c:spPr>
          <c:marker>
            <c:symbol val="none"/>
          </c:marker>
          <c:dLbls>
            <c:dLbl>
              <c:idx val="0"/>
              <c:layout>
                <c:manualLayout>
                  <c:x val="-4.8087378640776744E-2"/>
                  <c:y val="-4.2887418104024605E-2"/>
                </c:manualLayout>
              </c:layout>
              <c:tx>
                <c:rich>
                  <a:bodyPr/>
                  <a:lstStyle/>
                  <a:p>
                    <a:fld id="{B008D15E-7A15-49BB-8B3B-ED9E5D795E32}"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140-4B30-B6B5-CD5039A72F85}"/>
                </c:ext>
              </c:extLst>
            </c:dLbl>
            <c:dLbl>
              <c:idx val="1"/>
              <c:layout>
                <c:manualLayout>
                  <c:x val="-4.8087378640776696E-2"/>
                  <c:y val="-4.2887418104024605E-2"/>
                </c:manualLayout>
              </c:layout>
              <c:tx>
                <c:rich>
                  <a:bodyPr/>
                  <a:lstStyle/>
                  <a:p>
                    <a:fld id="{51C10B54-EF3B-43A7-9A99-C371699B11C0}"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140-4B30-B6B5-CD5039A72F85}"/>
                </c:ext>
              </c:extLst>
            </c:dLbl>
            <c:dLbl>
              <c:idx val="2"/>
              <c:tx>
                <c:rich>
                  <a:bodyPr/>
                  <a:lstStyle/>
                  <a:p>
                    <a:fld id="{90A53F1A-051F-466C-96A4-50853ED43EDB}"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140-4B30-B6B5-CD5039A72F85}"/>
                </c:ext>
              </c:extLst>
            </c:dLbl>
            <c:dLbl>
              <c:idx val="3"/>
              <c:tx>
                <c:rich>
                  <a:bodyPr/>
                  <a:lstStyle/>
                  <a:p>
                    <a:fld id="{A6902AF1-5A4E-415D-B938-18B117C47EB7}"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140-4B30-B6B5-CD5039A72F85}"/>
                </c:ext>
              </c:extLst>
            </c:dLbl>
            <c:dLbl>
              <c:idx val="4"/>
              <c:layout>
                <c:manualLayout>
                  <c:x val="-4.6865875584322189E-2"/>
                  <c:y val="-0.11088882537867963"/>
                </c:manualLayout>
              </c:layout>
              <c:tx>
                <c:rich>
                  <a:bodyPr/>
                  <a:lstStyle/>
                  <a:p>
                    <a:fld id="{442EB7DE-2A04-4021-BDB0-582DE927997F}"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140-4B30-B6B5-CD5039A72F85}"/>
                </c:ext>
              </c:extLst>
            </c:dLbl>
            <c:dLbl>
              <c:idx val="5"/>
              <c:layout>
                <c:manualLayout>
                  <c:x val="-4.6865875584322189E-2"/>
                  <c:y val="-9.8075257847986166E-2"/>
                </c:manualLayout>
              </c:layout>
              <c:tx>
                <c:rich>
                  <a:bodyPr/>
                  <a:lstStyle/>
                  <a:p>
                    <a:fld id="{BE826913-877D-437D-9B26-B44239814EB5}" type="CELLRANGE">
                      <a:rPr lang="en-US"/>
                      <a:pPr/>
                      <a:t>[CELLRANGE]</a:t>
                    </a:fld>
                    <a:endParaRPr lang="es-A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140-4B30-B6B5-CD5039A72F8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'Base Graf'!$G$7:$G$14</c15:sqref>
                  </c15:fullRef>
                </c:ext>
              </c:extLst>
              <c:f>'Base Graf'!$G$9:$G$14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129.23331412624663</c:v>
                </c:pt>
                <c:pt idx="1">
                  <c:v>117.491488189704</c:v>
                </c:pt>
                <c:pt idx="2">
                  <c:v>111.47422789990381</c:v>
                </c:pt>
                <c:pt idx="3">
                  <c:v>105.58295986861528</c:v>
                </c:pt>
                <c:pt idx="4">
                  <c:v>59.771379347654303</c:v>
                </c:pt>
                <c:pt idx="5">
                  <c:v>12.703251589753044</c:v>
                </c:pt>
              </c:numCache>
            </c:numRef>
          </c:val>
          <c:smooth val="0"/>
          <c:extLst>
            <c:ext xmlns:c15="http://schemas.microsoft.com/office/drawing/2012/chart" uri="{02D57815-91ED-43cb-92C2-25804820EDAC}">
              <c15:datalabelsRange>
                <c15:f>'Base Graf'!$BO$114:$BO$121</c15:f>
                <c15:dlblRangeCache>
                  <c:ptCount val="8"/>
                  <c:pt idx="0">
                    <c:v> 130,1 </c:v>
                  </c:pt>
                  <c:pt idx="1">
                    <c:v> 130,7 </c:v>
                  </c:pt>
                  <c:pt idx="2">
                    <c:v> 129,2 </c:v>
                  </c:pt>
                  <c:pt idx="3">
                    <c:v> 117,5 </c:v>
                  </c:pt>
                  <c:pt idx="4">
                    <c:v> 111,5 </c:v>
                  </c:pt>
                  <c:pt idx="5">
                    <c:v> 105,6 </c:v>
                  </c:pt>
                  <c:pt idx="6">
                    <c:v> 59,8 </c:v>
                  </c:pt>
                  <c:pt idx="7">
                    <c:v> 12,7 </c:v>
                  </c:pt>
                </c15:dlblRangeCache>
              </c15:datalabelsRange>
            </c:ext>
            <c:ext xmlns:c15="http://schemas.microsoft.com/office/drawing/2012/chart" uri="{02D57815-91ED-43cb-92C2-25804820EDAC}">
              <c15:categoryFilterExceptions>
                <c15:categoryFilterException>
                  <c15:sqref>'Base Graf'!$C$7</c15:sqref>
                  <c15:dLbl>
                    <c:idx val="-1"/>
                    <c:delete val="1"/>
                    <c:extLst>
                      <c:ext uri="{CE6537A1-D6FC-4f65-9D91-7224C49458BB}"/>
                      <c:ext xmlns:c16="http://schemas.microsoft.com/office/drawing/2014/chart" uri="{C3380CC4-5D6E-409C-BE32-E72D297353CC}">
                        <c16:uniqueId val="{00000000-8AE0-4AB4-9189-8F7B032D4051}"/>
                      </c:ext>
                    </c:extLst>
                  </c15:dLbl>
                </c15:categoryFilterException>
                <c15:categoryFilterException>
                  <c15:sqref>'Base Graf'!$C$8</c15:sqref>
                  <c15:dLbl>
                    <c:idx val="-1"/>
                    <c:delete val="1"/>
                    <c:extLst>
                      <c:ext uri="{CE6537A1-D6FC-4f65-9D91-7224C49458BB}"/>
                      <c:ext xmlns:c16="http://schemas.microsoft.com/office/drawing/2014/chart" uri="{C3380CC4-5D6E-409C-BE32-E72D297353CC}">
                        <c16:uniqueId val="{00000001-8AE0-4AB4-9189-8F7B032D4051}"/>
                      </c:ext>
                    </c:extLst>
                  </c15:dLbl>
                </c15:categoryFilterException>
              </c15:categoryFilterExceptions>
            </c:ext>
            <c:ext xmlns:c16="http://schemas.microsoft.com/office/drawing/2014/chart" uri="{C3380CC4-5D6E-409C-BE32-E72D297353CC}">
              <c16:uniqueId val="{00000017-F070-4C4C-A8F3-25B5D6BC95A0}"/>
            </c:ext>
          </c:extLst>
        </c:ser>
        <c:dLbls>
          <c:showLegendKey val="0"/>
          <c:showVal val="0"/>
          <c:showCatName val="0"/>
          <c:showSerName val="0"/>
          <c:showPercent val="0"/>
          <c:showBubbleSize val="0"/>
        </c:dLbls>
        <c:marker val="1"/>
        <c:smooth val="0"/>
        <c:axId val="-303972816"/>
        <c:axId val="-303973904"/>
      </c:lineChart>
      <c:catAx>
        <c:axId val="-303972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3904"/>
        <c:crosses val="autoZero"/>
        <c:auto val="1"/>
        <c:lblAlgn val="ctr"/>
        <c:lblOffset val="100"/>
        <c:noMultiLvlLbl val="0"/>
      </c:catAx>
      <c:valAx>
        <c:axId val="-303973904"/>
        <c:scaling>
          <c:orientation val="minMax"/>
        </c:scaling>
        <c:delete val="1"/>
        <c:axPos val="l"/>
        <c:numFmt formatCode="#,##0.0" sourceLinked="1"/>
        <c:majorTickMark val="none"/>
        <c:minorTickMark val="none"/>
        <c:tickLblPos val="nextTo"/>
        <c:crossAx val="-303972816"/>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51959726717E-2"/>
          <c:y val="6.3374819121743808E-2"/>
          <c:w val="0.88282793959007555"/>
          <c:h val="0.6923258400790121"/>
        </c:manualLayout>
      </c:layout>
      <c:barChart>
        <c:barDir val="col"/>
        <c:grouping val="stacked"/>
        <c:varyColors val="0"/>
        <c:ser>
          <c:idx val="0"/>
          <c:order val="0"/>
          <c:tx>
            <c:strRef>
              <c:f>'Base Graf'!$AC$2</c:f>
              <c:strCache>
                <c:ptCount val="1"/>
                <c:pt idx="0">
                  <c:v>Gobierno Federal</c:v>
                </c:pt>
              </c:strCache>
            </c:strRef>
          </c:tx>
          <c:spPr>
            <a:solidFill>
              <a:srgbClr val="3CB4E5"/>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Graf'!$AC$7:$AC$14</c15:sqref>
                  </c15:fullRef>
                </c:ext>
              </c:extLst>
              <c:f>'Base Graf'!$AC$9:$AC$14</c:f>
              <c:numCache>
                <c:formatCode>#,##0.0</c:formatCode>
                <c:ptCount val="6"/>
                <c:pt idx="0">
                  <c:v>544.15071828691418</c:v>
                </c:pt>
                <c:pt idx="1">
                  <c:v>366.40623828243469</c:v>
                </c:pt>
                <c:pt idx="2">
                  <c:v>294.95011787790719</c:v>
                </c:pt>
                <c:pt idx="3">
                  <c:v>278.1809966190566</c:v>
                </c:pt>
                <c:pt idx="4">
                  <c:v>262.45137924683257</c:v>
                </c:pt>
                <c:pt idx="5">
                  <c:v>212.81056355716242</c:v>
                </c:pt>
              </c:numCache>
            </c:numRef>
          </c:val>
          <c:extLst>
            <c:ext xmlns:c16="http://schemas.microsoft.com/office/drawing/2014/chart" uri="{C3380CC4-5D6E-409C-BE32-E72D297353CC}">
              <c16:uniqueId val="{00000000-5505-4797-A7FA-4210E1348C1E}"/>
            </c:ext>
          </c:extLst>
        </c:ser>
        <c:ser>
          <c:idx val="1"/>
          <c:order val="1"/>
          <c:tx>
            <c:strRef>
              <c:f>'Base Graf'!$AO$2</c:f>
              <c:strCache>
                <c:ptCount val="1"/>
                <c:pt idx="0">
                  <c:v>Tenedores de Bonos</c:v>
                </c:pt>
              </c:strCache>
            </c:strRef>
          </c:tx>
          <c:spPr>
            <a:solidFill>
              <a:srgbClr val="000F9F"/>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Graf'!$AO$7:$AO$14</c15:sqref>
                  </c15:fullRef>
                </c:ext>
              </c:extLst>
              <c:f>'Base Graf'!$AO$9:$AO$14</c:f>
              <c:numCache>
                <c:formatCode>#,##0.0</c:formatCode>
                <c:ptCount val="6"/>
                <c:pt idx="0">
                  <c:v>55131.617307206274</c:v>
                </c:pt>
                <c:pt idx="1">
                  <c:v>82446.90262438143</c:v>
                </c:pt>
                <c:pt idx="2">
                  <c:v>7974.9672007441386</c:v>
                </c:pt>
                <c:pt idx="3">
                  <c:v>925.39538433960297</c:v>
                </c:pt>
                <c:pt idx="4">
                  <c:v>887.71092061823651</c:v>
                </c:pt>
                <c:pt idx="5">
                  <c:v>0</c:v>
                </c:pt>
              </c:numCache>
            </c:numRef>
          </c:val>
          <c:extLst>
            <c:ext xmlns:c16="http://schemas.microsoft.com/office/drawing/2014/chart" uri="{C3380CC4-5D6E-409C-BE32-E72D297353CC}">
              <c16:uniqueId val="{00000001-5505-4797-A7FA-4210E1348C1E}"/>
            </c:ext>
          </c:extLst>
        </c:ser>
        <c:ser>
          <c:idx val="3"/>
          <c:order val="2"/>
          <c:tx>
            <c:strRef>
              <c:f>'Base Graf'!$AF$2</c:f>
              <c:strCache>
                <c:ptCount val="1"/>
                <c:pt idx="0">
                  <c:v>Banco de la Nación Argentina</c:v>
                </c:pt>
              </c:strCache>
            </c:strRef>
          </c:tx>
          <c:spPr>
            <a:solidFill>
              <a:srgbClr val="C8A977"/>
            </a:solidFill>
            <a:ln>
              <a:noFill/>
            </a:ln>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Graf'!$AF$7:$AF$14</c15:sqref>
                  </c15:fullRef>
                </c:ext>
              </c:extLst>
              <c:f>'Base Graf'!$AF$9:$AF$14</c:f>
              <c:numCache>
                <c:formatCode>#,##0.0</c:formatCode>
                <c:ptCount val="6"/>
                <c:pt idx="0">
                  <c:v>14952.344600552928</c:v>
                </c:pt>
                <c:pt idx="1">
                  <c:v>17967.914616157872</c:v>
                </c:pt>
                <c:pt idx="2">
                  <c:v>10851.336481617147</c:v>
                </c:pt>
                <c:pt idx="3">
                  <c:v>6640.4444444444462</c:v>
                </c:pt>
                <c:pt idx="4">
                  <c:v>0</c:v>
                </c:pt>
                <c:pt idx="5">
                  <c:v>0</c:v>
                </c:pt>
              </c:numCache>
            </c:numRef>
          </c:val>
          <c:extLst>
            <c:ext xmlns:c16="http://schemas.microsoft.com/office/drawing/2014/chart" uri="{C3380CC4-5D6E-409C-BE32-E72D297353CC}">
              <c16:uniqueId val="{00000004-E4F1-45B2-9D23-8998C5758ED0}"/>
            </c:ext>
          </c:extLst>
        </c:ser>
        <c:dLbls>
          <c:showLegendKey val="0"/>
          <c:showVal val="0"/>
          <c:showCatName val="0"/>
          <c:showSerName val="0"/>
          <c:showPercent val="0"/>
          <c:showBubbleSize val="0"/>
        </c:dLbls>
        <c:gapWidth val="50"/>
        <c:overlap val="100"/>
        <c:axId val="-303973360"/>
        <c:axId val="-303971728"/>
      </c:barChart>
      <c:lineChart>
        <c:grouping val="standard"/>
        <c:varyColors val="0"/>
        <c:ser>
          <c:idx val="2"/>
          <c:order val="3"/>
          <c:spPr>
            <a:ln w="28575" cap="rnd">
              <a:solidFill>
                <a:schemeClr val="bg1">
                  <a:lumMod val="85000"/>
                  <a:alpha val="0"/>
                </a:schemeClr>
              </a:solidFill>
              <a:roun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s-A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Graf'!$B$7:$B$14</c15:sqref>
                  </c15:fullRef>
                </c:ext>
              </c:extLst>
              <c:f>'Base Graf'!$B$9:$B$14</c:f>
              <c:numCache>
                <c:formatCode>#,##0.0</c:formatCode>
                <c:ptCount val="6"/>
                <c:pt idx="0">
                  <c:v>70628.112626046117</c:v>
                </c:pt>
                <c:pt idx="1">
                  <c:v>100781.22347882173</c:v>
                </c:pt>
                <c:pt idx="2">
                  <c:v>19121.253800239192</c:v>
                </c:pt>
                <c:pt idx="3">
                  <c:v>7844.0208254031058</c:v>
                </c:pt>
                <c:pt idx="4">
                  <c:v>1150.1622998650691</c:v>
                </c:pt>
                <c:pt idx="5">
                  <c:v>212.81056355716242</c:v>
                </c:pt>
              </c:numCache>
            </c:numRef>
          </c:val>
          <c:smooth val="0"/>
          <c:extLst>
            <c:ext xmlns:c15="http://schemas.microsoft.com/office/drawing/2012/chart" uri="{02D57815-91ED-43cb-92C2-25804820EDAC}">
              <c15:categoryFilterExceptions>
                <c15:categoryFilterException>
                  <c15:sqref>'Base Graf'!$B$7</c15:sqref>
                  <c15:dLbl>
                    <c:idx val="-1"/>
                    <c:layout>
                      <c:manualLayout>
                        <c:x val="-6.5920352391226178E-2"/>
                        <c:y val="-3.439697820564246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619A-4291-9DF5-7ADFE29ED07E}"/>
                      </c:ext>
                    </c:extLst>
                  </c15:dLbl>
                </c15:categoryFilterException>
              </c15:categoryFilterExceptions>
            </c:ext>
            <c:ext xmlns:c16="http://schemas.microsoft.com/office/drawing/2014/chart" uri="{C3380CC4-5D6E-409C-BE32-E72D297353CC}">
              <c16:uniqueId val="{00000002-5505-4797-A7FA-4210E1348C1E}"/>
            </c:ext>
          </c:extLst>
        </c:ser>
        <c:dLbls>
          <c:showLegendKey val="0"/>
          <c:showVal val="0"/>
          <c:showCatName val="0"/>
          <c:showSerName val="0"/>
          <c:showPercent val="0"/>
          <c:showBubbleSize val="0"/>
        </c:dLbls>
        <c:marker val="1"/>
        <c:smooth val="0"/>
        <c:axId val="-303973360"/>
        <c:axId val="-303971728"/>
      </c:lineChart>
      <c:catAx>
        <c:axId val="-303973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crossAx val="-303971728"/>
        <c:crosses val="autoZero"/>
        <c:auto val="1"/>
        <c:lblAlgn val="ctr"/>
        <c:lblOffset val="100"/>
        <c:noMultiLvlLbl val="0"/>
      </c:catAx>
      <c:valAx>
        <c:axId val="-303971728"/>
        <c:scaling>
          <c:orientation val="minMax"/>
          <c:max val="120000"/>
          <c:min val="2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3360"/>
        <c:crosses val="autoZero"/>
        <c:crossBetween val="between"/>
      </c:valAx>
      <c:spPr>
        <a:noFill/>
        <a:ln w="25400">
          <a:noFill/>
        </a:ln>
        <a:effectLst/>
      </c:spPr>
    </c:plotArea>
    <c:legend>
      <c:legendPos val="b"/>
      <c:legendEntry>
        <c:idx val="3"/>
        <c:delete val="1"/>
      </c:legendEntry>
      <c:layout>
        <c:manualLayout>
          <c:xMode val="edge"/>
          <c:yMode val="edge"/>
          <c:x val="3.3272563825961887E-2"/>
          <c:y val="0.89721591392915689"/>
          <c:w val="0.92660463861920173"/>
          <c:h val="7.3067589249899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551959726717E-2"/>
          <c:y val="6.2984700565587221E-2"/>
          <c:w val="0.88282793959007555"/>
          <c:h val="0.70969727614483258"/>
        </c:manualLayout>
      </c:layout>
      <c:barChart>
        <c:barDir val="col"/>
        <c:grouping val="stacked"/>
        <c:varyColors val="0"/>
        <c:ser>
          <c:idx val="0"/>
          <c:order val="0"/>
          <c:tx>
            <c:strRef>
              <c:f>'Base Graf'!$AP$2</c:f>
              <c:strCache>
                <c:ptCount val="1"/>
                <c:pt idx="0">
                  <c:v>Tenedores de Bonos</c:v>
                </c:pt>
              </c:strCache>
            </c:strRef>
          </c:tx>
          <c:spPr>
            <a:solidFill>
              <a:srgbClr val="000F9F"/>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Graf'!$AP$7:$AP$14</c15:sqref>
                  </c15:fullRef>
                </c:ext>
              </c:extLst>
              <c:f>'Base Graf'!$AP$9:$AP$14</c:f>
              <c:numCache>
                <c:formatCode>#,##0.0</c:formatCode>
                <c:ptCount val="6"/>
                <c:pt idx="0">
                  <c:v>99.171135674615385</c:v>
                </c:pt>
                <c:pt idx="1">
                  <c:v>94.58864221153847</c:v>
                </c:pt>
                <c:pt idx="2">
                  <c:v>90.006148750000008</c:v>
                </c:pt>
                <c:pt idx="3">
                  <c:v>85.423655288461546</c:v>
                </c:pt>
                <c:pt idx="4">
                  <c:v>40.993392596153853</c:v>
                </c:pt>
                <c:pt idx="5">
                  <c:v>0</c:v>
                </c:pt>
              </c:numCache>
            </c:numRef>
          </c:val>
          <c:extLst>
            <c:ext xmlns:c16="http://schemas.microsoft.com/office/drawing/2014/chart" uri="{C3380CC4-5D6E-409C-BE32-E72D297353CC}">
              <c16:uniqueId val="{00000000-608F-4513-AFD1-F65A68313CF8}"/>
            </c:ext>
          </c:extLst>
        </c:ser>
        <c:ser>
          <c:idx val="1"/>
          <c:order val="1"/>
          <c:tx>
            <c:strRef>
              <c:f>'Base Graf'!$AM$2</c:f>
              <c:strCache>
                <c:ptCount val="1"/>
                <c:pt idx="0">
                  <c:v>Organismos Multilaterales</c:v>
                </c:pt>
              </c:strCache>
            </c:strRef>
          </c:tx>
          <c:spPr>
            <a:solidFill>
              <a:srgbClr val="C8A977"/>
            </a:soli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Graf'!$AM$7:$AM$14</c15:sqref>
                  </c15:fullRef>
                </c:ext>
              </c:extLst>
              <c:f>'Base Graf'!$AM$9:$AM$14</c:f>
              <c:numCache>
                <c:formatCode>#,##0.0</c:formatCode>
                <c:ptCount val="6"/>
                <c:pt idx="0">
                  <c:v>30.062178451631226</c:v>
                </c:pt>
                <c:pt idx="1">
                  <c:v>22.902845978165534</c:v>
                </c:pt>
                <c:pt idx="2">
                  <c:v>21.468079149903794</c:v>
                </c:pt>
                <c:pt idx="3">
                  <c:v>20.15930458015373</c:v>
                </c:pt>
                <c:pt idx="4">
                  <c:v>18.777986751500453</c:v>
                </c:pt>
                <c:pt idx="5">
                  <c:v>12.703251589753044</c:v>
                </c:pt>
              </c:numCache>
            </c:numRef>
          </c:val>
          <c:extLst>
            <c:ext xmlns:c16="http://schemas.microsoft.com/office/drawing/2014/chart" uri="{C3380CC4-5D6E-409C-BE32-E72D297353CC}">
              <c16:uniqueId val="{00000001-608F-4513-AFD1-F65A68313CF8}"/>
            </c:ext>
          </c:extLst>
        </c:ser>
        <c:ser>
          <c:idx val="2"/>
          <c:order val="2"/>
          <c:tx>
            <c:strRef>
              <c:f>'Base Graf'!$AJ$2</c:f>
              <c:strCache>
                <c:ptCount val="1"/>
                <c:pt idx="0">
                  <c:v>Bancos Nacionales e Internacionales</c:v>
                </c:pt>
              </c:strCache>
            </c:strRef>
          </c:tx>
          <c:spPr>
            <a:gradFill flip="none" rotWithShape="1">
              <a:gsLst>
                <a:gs pos="0">
                  <a:srgbClr val="C00000">
                    <a:shade val="30000"/>
                    <a:satMod val="115000"/>
                  </a:srgbClr>
                </a:gs>
                <a:gs pos="50000">
                  <a:srgbClr val="C00000">
                    <a:shade val="67500"/>
                    <a:satMod val="115000"/>
                  </a:srgbClr>
                </a:gs>
                <a:gs pos="100000">
                  <a:srgbClr val="C00000">
                    <a:shade val="100000"/>
                    <a:satMod val="115000"/>
                  </a:srgbClr>
                </a:gs>
              </a:gsLst>
              <a:path path="circle">
                <a:fillToRect l="100000" b="100000"/>
              </a:path>
              <a:tileRect t="-100000" r="-100000"/>
            </a:gradFill>
            <a:ln>
              <a:no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Graf'!$AJ$6:$AJ$14</c15:sqref>
                  </c15:fullRef>
                </c:ext>
              </c:extLst>
              <c:f>'Base Graf'!$AJ$8:$AJ$13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9-608F-4513-AFD1-F65A68313CF8}"/>
            </c:ext>
          </c:extLst>
        </c:ser>
        <c:dLbls>
          <c:showLegendKey val="0"/>
          <c:showVal val="0"/>
          <c:showCatName val="0"/>
          <c:showSerName val="0"/>
          <c:showPercent val="0"/>
          <c:showBubbleSize val="0"/>
        </c:dLbls>
        <c:gapWidth val="50"/>
        <c:overlap val="100"/>
        <c:axId val="-303971184"/>
        <c:axId val="-533886400"/>
      </c:barChart>
      <c:lineChart>
        <c:grouping val="standard"/>
        <c:varyColors val="0"/>
        <c:ser>
          <c:idx val="3"/>
          <c:order val="3"/>
          <c:spPr>
            <a:ln w="28575" cap="rnd">
              <a:solidFill>
                <a:schemeClr val="tx1">
                  <a:alpha val="0"/>
                </a:schemeClr>
              </a:solidFill>
              <a:round/>
            </a:ln>
            <a:effectLst/>
          </c:spPr>
          <c:marker>
            <c:symbol val="none"/>
          </c:marker>
          <c:dLbls>
            <c:dLbl>
              <c:idx val="0"/>
              <c:tx>
                <c:rich>
                  <a:bodyPr/>
                  <a:lstStyle/>
                  <a:p>
                    <a:fld id="{55BAC479-DA98-486A-A7A4-97CF5E5B2904}"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DF0-4377-ADCD-7137CEFFECCD}"/>
                </c:ext>
              </c:extLst>
            </c:dLbl>
            <c:dLbl>
              <c:idx val="1"/>
              <c:tx>
                <c:rich>
                  <a:bodyPr/>
                  <a:lstStyle/>
                  <a:p>
                    <a:fld id="{FA8F2D0A-30CB-4565-B0BD-1A6B4ABADCBB}"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DF0-4377-ADCD-7137CEFFECCD}"/>
                </c:ext>
              </c:extLst>
            </c:dLbl>
            <c:dLbl>
              <c:idx val="2"/>
              <c:tx>
                <c:rich>
                  <a:bodyPr/>
                  <a:lstStyle/>
                  <a:p>
                    <a:fld id="{E7646A57-FE04-431F-84A5-741137D0FDEC}"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DF0-4377-ADCD-7137CEFFECCD}"/>
                </c:ext>
              </c:extLst>
            </c:dLbl>
            <c:dLbl>
              <c:idx val="3"/>
              <c:tx>
                <c:rich>
                  <a:bodyPr/>
                  <a:lstStyle/>
                  <a:p>
                    <a:fld id="{FA19BBCA-C8C2-44BB-B028-59D7BF639DAE}"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DF0-4377-ADCD-7137CEFFECCD}"/>
                </c:ext>
              </c:extLst>
            </c:dLbl>
            <c:dLbl>
              <c:idx val="4"/>
              <c:tx>
                <c:rich>
                  <a:bodyPr/>
                  <a:lstStyle/>
                  <a:p>
                    <a:fld id="{A380A78F-3743-4292-BBBD-ACD1A60427A5}"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DF0-4377-ADCD-7137CEFFECCD}"/>
                </c:ext>
              </c:extLst>
            </c:dLbl>
            <c:dLbl>
              <c:idx val="5"/>
              <c:tx>
                <c:rich>
                  <a:bodyPr/>
                  <a:lstStyle/>
                  <a:p>
                    <a:fld id="{8142FD6D-46B6-400E-BEA7-E9AE0981F80D}" type="CELLRANGE">
                      <a:rPr lang="es-AR"/>
                      <a:pPr/>
                      <a:t>[CELLRANGE]</a:t>
                    </a:fld>
                    <a:endParaRPr lang="es-A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DF0-4377-ADCD-7137CEFFECCD}"/>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A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'Base Graf'!$AB$7:$AB$14</c15:sqref>
                  </c15:fullRef>
                </c:ext>
              </c:extLst>
              <c:f>'Base Graf'!$AB$9:$AB$14</c:f>
              <c:strCache>
                <c:ptCount val="6"/>
                <c:pt idx="0">
                  <c:v>2025</c:v>
                </c:pt>
                <c:pt idx="1">
                  <c:v>2026</c:v>
                </c:pt>
                <c:pt idx="2">
                  <c:v>2027</c:v>
                </c:pt>
                <c:pt idx="3">
                  <c:v>2028</c:v>
                </c:pt>
                <c:pt idx="4">
                  <c:v>2029</c:v>
                </c:pt>
                <c:pt idx="5">
                  <c:v>Prom Resto 2030-2050</c:v>
                </c:pt>
              </c:strCache>
            </c:strRef>
          </c:cat>
          <c:val>
            <c:numRef>
              <c:extLst>
                <c:ext xmlns:c15="http://schemas.microsoft.com/office/drawing/2012/chart" uri="{02D57815-91ED-43cb-92C2-25804820EDAC}">
                  <c15:fullRef>
                    <c15:sqref>'Base Graf'!$C$7:$C$14</c15:sqref>
                  </c15:fullRef>
                </c:ext>
              </c:extLst>
              <c:f>'Base Graf'!$C$9:$C$14</c:f>
              <c:numCache>
                <c:formatCode>#,##0.0</c:formatCode>
                <c:ptCount val="6"/>
                <c:pt idx="0">
                  <c:v>129.23331412624663</c:v>
                </c:pt>
                <c:pt idx="1">
                  <c:v>117.491488189704</c:v>
                </c:pt>
                <c:pt idx="2">
                  <c:v>111.47422789990381</c:v>
                </c:pt>
                <c:pt idx="3">
                  <c:v>105.58295986861528</c:v>
                </c:pt>
                <c:pt idx="4">
                  <c:v>59.771379347654303</c:v>
                </c:pt>
                <c:pt idx="5">
                  <c:v>12.703251589753044</c:v>
                </c:pt>
              </c:numCache>
            </c:numRef>
          </c:val>
          <c:smooth val="0"/>
          <c:extLst>
            <c:ext xmlns:c15="http://schemas.microsoft.com/office/drawing/2012/chart" uri="{02D57815-91ED-43cb-92C2-25804820EDAC}">
              <c15:datalabelsRange>
                <c15:f>'Base Graf'!$BO$167:$BO$174</c15:f>
                <c15:dlblRangeCache>
                  <c:ptCount val="8"/>
                  <c:pt idx="0">
                    <c:v> 130,1 </c:v>
                  </c:pt>
                  <c:pt idx="1">
                    <c:v> 130,7 </c:v>
                  </c:pt>
                  <c:pt idx="2">
                    <c:v> 129,2 </c:v>
                  </c:pt>
                  <c:pt idx="3">
                    <c:v> 117,5 </c:v>
                  </c:pt>
                  <c:pt idx="4">
                    <c:v> 111,5 </c:v>
                  </c:pt>
                  <c:pt idx="5">
                    <c:v> 105,6 </c:v>
                  </c:pt>
                  <c:pt idx="6">
                    <c:v> 59,8 </c:v>
                  </c:pt>
                  <c:pt idx="7">
                    <c:v> 12,7 </c:v>
                  </c:pt>
                </c15:dlblRangeCache>
              </c15:datalabelsRange>
            </c:ext>
            <c:ext xmlns:c16="http://schemas.microsoft.com/office/drawing/2014/chart" uri="{C3380CC4-5D6E-409C-BE32-E72D297353CC}">
              <c16:uniqueId val="{0000000C-608F-4513-AFD1-F65A68313CF8}"/>
            </c:ext>
          </c:extLst>
        </c:ser>
        <c:dLbls>
          <c:showLegendKey val="0"/>
          <c:showVal val="0"/>
          <c:showCatName val="0"/>
          <c:showSerName val="0"/>
          <c:showPercent val="0"/>
          <c:showBubbleSize val="0"/>
        </c:dLbls>
        <c:marker val="1"/>
        <c:smooth val="0"/>
        <c:axId val="-303971184"/>
        <c:axId val="-533886400"/>
      </c:lineChart>
      <c:catAx>
        <c:axId val="-3039711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Arial Narrow" panose="020B0606020202030204" pitchFamily="34" charset="0"/>
                <a:ea typeface="+mn-ea"/>
                <a:cs typeface="+mn-cs"/>
              </a:defRPr>
            </a:pPr>
            <a:endParaRPr lang="es-AR"/>
          </a:p>
        </c:txPr>
        <c:crossAx val="-533886400"/>
        <c:crosses val="autoZero"/>
        <c:auto val="1"/>
        <c:lblAlgn val="ctr"/>
        <c:lblOffset val="100"/>
        <c:noMultiLvlLbl val="0"/>
      </c:catAx>
      <c:valAx>
        <c:axId val="-533886400"/>
        <c:scaling>
          <c:orientation val="minMax"/>
          <c:max val="15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Narrow" panose="020B0606020202030204" pitchFamily="34" charset="0"/>
                <a:ea typeface="+mn-ea"/>
                <a:cs typeface="+mn-cs"/>
              </a:defRPr>
            </a:pPr>
            <a:endParaRPr lang="es-AR"/>
          </a:p>
        </c:txPr>
        <c:crossAx val="-303971184"/>
        <c:crosses val="autoZero"/>
        <c:crossBetween val="between"/>
        <c:majorUnit val="50"/>
      </c:valAx>
      <c:spPr>
        <a:noFill/>
        <a:ln>
          <a:noFill/>
        </a:ln>
        <a:effectLst/>
      </c:spPr>
    </c:plotArea>
    <c:legend>
      <c:legendPos val="b"/>
      <c:legendEntry>
        <c:idx val="2"/>
        <c:delete val="1"/>
      </c:legendEntry>
      <c:legendEntry>
        <c:idx val="3"/>
        <c:delete val="1"/>
      </c:legendEntry>
      <c:layout>
        <c:manualLayout>
          <c:xMode val="edge"/>
          <c:yMode val="edge"/>
          <c:x val="4.9999999999999989E-2"/>
          <c:y val="0.92268719080090922"/>
          <c:w val="0.92373894282632152"/>
          <c:h val="7.306758924989971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Narrow" panose="020B0606020202030204" pitchFamily="34" charset="0"/>
              <a:ea typeface="+mn-ea"/>
              <a:cs typeface="+mn-cs"/>
            </a:defRPr>
          </a:pPr>
          <a:endParaRPr lang="es-AR"/>
        </a:p>
      </c:txPr>
    </c:legend>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3CB4E5"/>
              </a:solidFill>
              <a:ln w="19050">
                <a:solidFill>
                  <a:schemeClr val="lt1"/>
                </a:solidFill>
              </a:ln>
              <a:effectLst/>
            </c:spPr>
            <c:extLst>
              <c:ext xmlns:c16="http://schemas.microsoft.com/office/drawing/2014/chart" uri="{C3380CC4-5D6E-409C-BE32-E72D297353CC}">
                <c16:uniqueId val="{00000002-35F0-4D06-A091-6FBFBCBFF391}"/>
              </c:ext>
            </c:extLst>
          </c:dPt>
          <c:dPt>
            <c:idx val="1"/>
            <c:bubble3D val="0"/>
            <c:spPr>
              <a:solidFill>
                <a:srgbClr val="000F9F"/>
              </a:solidFill>
              <a:ln w="19050">
                <a:solidFill>
                  <a:schemeClr val="lt1"/>
                </a:solidFill>
              </a:ln>
              <a:effectLst/>
            </c:spPr>
            <c:extLst>
              <c:ext xmlns:c16="http://schemas.microsoft.com/office/drawing/2014/chart" uri="{C3380CC4-5D6E-409C-BE32-E72D297353CC}">
                <c16:uniqueId val="{00000001-35F0-4D06-A091-6FBFBCBFF391}"/>
              </c:ext>
            </c:extLst>
          </c:dPt>
          <c:dPt>
            <c:idx val="2"/>
            <c:bubble3D val="0"/>
            <c:spPr>
              <a:solidFill>
                <a:schemeClr val="tx1">
                  <a:lumMod val="50000"/>
                  <a:lumOff val="50000"/>
                </a:schemeClr>
              </a:solidFill>
              <a:ln w="19050">
                <a:solidFill>
                  <a:schemeClr val="lt1"/>
                </a:solidFill>
              </a:ln>
              <a:effectLst/>
            </c:spPr>
            <c:extLst>
              <c:ext xmlns:c16="http://schemas.microsoft.com/office/drawing/2014/chart" uri="{C3380CC4-5D6E-409C-BE32-E72D297353CC}">
                <c16:uniqueId val="{00000004-35F0-4D06-A091-6FBFBCBFF391}"/>
              </c:ext>
            </c:extLst>
          </c:dPt>
          <c:dPt>
            <c:idx val="3"/>
            <c:bubble3D val="0"/>
            <c:spPr>
              <a:solidFill>
                <a:srgbClr val="C8A977"/>
              </a:solidFill>
              <a:ln w="19050">
                <a:solidFill>
                  <a:schemeClr val="lt1"/>
                </a:solidFill>
              </a:ln>
              <a:effectLst/>
            </c:spPr>
            <c:extLst>
              <c:ext xmlns:c16="http://schemas.microsoft.com/office/drawing/2014/chart" uri="{C3380CC4-5D6E-409C-BE32-E72D297353CC}">
                <c16:uniqueId val="{00000003-35F0-4D06-A091-6FBFBCBFF39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D75A-4807-941B-1FE369D26327}"/>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3CB4E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2-35F0-4D06-A091-6FBFBCBFF391}"/>
                </c:ext>
              </c:extLst>
            </c:dLbl>
            <c:dLbl>
              <c:idx val="1"/>
              <c:tx>
                <c:rich>
                  <a:bodyPr/>
                  <a:lstStyle/>
                  <a:p>
                    <a:fld id="{DC9A279B-B81F-4996-91C9-DBDB1969D33F}" type="PERCENTAGE">
                      <a:rPr lang="en-US" b="1">
                        <a:solidFill>
                          <a:srgbClr val="000F9F"/>
                        </a:solidFill>
                      </a:rPr>
                      <a:pPr/>
                      <a:t>[PORCENTAJE]</a:t>
                    </a:fld>
                    <a:endParaRPr lang="es-AR"/>
                  </a:p>
                </c:rich>
              </c:tx>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5F0-4D06-A091-6FBFBCBFF391}"/>
                </c:ext>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50000"/>
                          <a:lumOff val="50000"/>
                        </a:schemeClr>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4-35F0-4D06-A091-6FBFBCBFF391}"/>
                </c:ext>
              </c:extLst>
            </c:dLbl>
            <c:dLbl>
              <c:idx val="3"/>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8A977"/>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3-35F0-4D06-A091-6FBFBCBFF391}"/>
                </c:ext>
              </c:extLst>
            </c:dLbl>
            <c:dLbl>
              <c:idx val="4"/>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accent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8-D75A-4807-941B-1FE369D2632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'Base Graf'!$BE$3:$BK$3</c15:sqref>
                  </c15:fullRef>
                </c:ext>
              </c:extLst>
              <c:f>('Base Graf'!$BE$3,'Base Graf'!$BG$3:$BI$3,'Base Graf'!$BK$3)</c:f>
              <c:strCache>
                <c:ptCount val="5"/>
                <c:pt idx="0">
                  <c:v>FIJA $</c:v>
                </c:pt>
                <c:pt idx="1">
                  <c:v>FIJA USD</c:v>
                </c:pt>
                <c:pt idx="2">
                  <c:v>BADLAR</c:v>
                </c:pt>
                <c:pt idx="3">
                  <c:v>LIBOR</c:v>
                </c:pt>
                <c:pt idx="4">
                  <c:v>TAMAR</c:v>
                </c:pt>
              </c:strCache>
            </c:strRef>
          </c:cat>
          <c:val>
            <c:numRef>
              <c:extLst>
                <c:ext xmlns:c15="http://schemas.microsoft.com/office/drawing/2012/chart" uri="{02D57815-91ED-43cb-92C2-25804820EDAC}">
                  <c15:fullRef>
                    <c15:sqref>'Base Graf'!$BE$5:$BK$5</c15:sqref>
                  </c15:fullRef>
                </c:ext>
              </c:extLst>
              <c:f>('Base Graf'!$BE$5,'Base Graf'!$BG$5:$BI$5,'Base Graf'!$BK$5)</c:f>
              <c:numCache>
                <c:formatCode>#,##0.0_ ;\-#,##0.0\ </c:formatCode>
                <c:ptCount val="5"/>
                <c:pt idx="0">
                  <c:v>58.430857651961347</c:v>
                </c:pt>
                <c:pt idx="1">
                  <c:v>318.78215384999999</c:v>
                </c:pt>
                <c:pt idx="2">
                  <c:v>9.8337366126690728</c:v>
                </c:pt>
                <c:pt idx="3">
                  <c:v>188.72057262328138</c:v>
                </c:pt>
                <c:pt idx="4">
                  <c:v>62.178585962053312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35F0-4D06-A091-6FBFBCBFF39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chemeClr val="tx1"/>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3CB4E5"/>
              </a:solidFill>
              <a:ln w="19050">
                <a:solidFill>
                  <a:schemeClr val="lt1"/>
                </a:solidFill>
              </a:ln>
              <a:effectLst/>
            </c:spPr>
            <c:extLst>
              <c:ext xmlns:c16="http://schemas.microsoft.com/office/drawing/2014/chart" uri="{C3380CC4-5D6E-409C-BE32-E72D297353CC}">
                <c16:uniqueId val="{0000000B-20D2-485C-A575-426FF507F10E}"/>
              </c:ext>
            </c:extLst>
          </c:dPt>
          <c:dPt>
            <c:idx val="1"/>
            <c:bubble3D val="0"/>
            <c:spPr>
              <a:solidFill>
                <a:srgbClr val="000F9F"/>
              </a:solidFill>
              <a:ln w="19050">
                <a:solidFill>
                  <a:schemeClr val="lt1"/>
                </a:solidFill>
              </a:ln>
              <a:effectLst/>
            </c:spPr>
            <c:extLst>
              <c:ext xmlns:c16="http://schemas.microsoft.com/office/drawing/2014/chart" uri="{C3380CC4-5D6E-409C-BE32-E72D297353CC}">
                <c16:uniqueId val="{0000000D-20D2-485C-A575-426FF507F10E}"/>
              </c:ext>
            </c:extLst>
          </c:dPt>
          <c:dPt>
            <c:idx val="2"/>
            <c:bubble3D val="0"/>
            <c:spPr>
              <a:solidFill>
                <a:srgbClr val="C8A977"/>
              </a:solidFill>
              <a:ln w="19050">
                <a:solidFill>
                  <a:schemeClr val="lt1"/>
                </a:solidFill>
              </a:ln>
              <a:effectLst/>
            </c:spPr>
            <c:extLst>
              <c:ext xmlns:c16="http://schemas.microsoft.com/office/drawing/2014/chart" uri="{C3380CC4-5D6E-409C-BE32-E72D297353CC}">
                <c16:uniqueId val="{00000011-20D2-485C-A575-426FF507F10E}"/>
              </c:ext>
            </c:extLst>
          </c:dPt>
          <c:dLbls>
            <c:dLbl>
              <c:idx val="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3CB4E5"/>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B-20D2-485C-A575-426FF507F10E}"/>
                </c:ext>
              </c:extLst>
            </c:dLbl>
            <c:dLbl>
              <c:idx val="1"/>
              <c:tx>
                <c:rich>
                  <a:bodyPr/>
                  <a:lstStyle/>
                  <a:p>
                    <a:fld id="{DC9A279B-B81F-4996-91C9-DBDB1969D33F}" type="PERCENTAGE">
                      <a:rPr lang="en-US" b="1">
                        <a:solidFill>
                          <a:srgbClr val="000F9F"/>
                        </a:solidFill>
                      </a:rPr>
                      <a:pPr/>
                      <a:t>[PORCENTAJE]</a:t>
                    </a:fld>
                    <a:endParaRPr lang="es-AR"/>
                  </a:p>
                </c:rich>
              </c:tx>
              <c:dLblPos val="outEnd"/>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20D2-485C-A575-426FF507F10E}"/>
                </c:ext>
              </c:extLst>
            </c:dLbl>
            <c:dLbl>
              <c:idx val="2"/>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rgbClr val="C8A977"/>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11-20D2-485C-A575-426FF507F10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'Base Graf'!$AX$3:$AZ$3</c15:sqref>
                  </c15:fullRef>
                </c:ext>
              </c:extLst>
              <c:f>'Base Graf'!$AX$3:$AY$3</c:f>
              <c:strCache>
                <c:ptCount val="2"/>
                <c:pt idx="0">
                  <c:v>Pesos</c:v>
                </c:pt>
                <c:pt idx="1">
                  <c:v>USD</c:v>
                </c:pt>
              </c:strCache>
            </c:strRef>
          </c:cat>
          <c:val>
            <c:numRef>
              <c:extLst>
                <c:ext xmlns:c15="http://schemas.microsoft.com/office/drawing/2012/chart" uri="{02D57815-91ED-43cb-92C2-25804820EDAC}">
                  <c15:fullRef>
                    <c15:sqref>'Base Graf'!$AX$5:$AZ$5</c15:sqref>
                  </c15:fullRef>
                </c:ext>
              </c:extLst>
              <c:f>'Base Graf'!$AX$5:$AY$5</c:f>
              <c:numCache>
                <c:formatCode>#,##0.00</c:formatCode>
                <c:ptCount val="2"/>
                <c:pt idx="0">
                  <c:v>132.13215545996508</c:v>
                </c:pt>
                <c:pt idx="1">
                  <c:v>505.81375123999999</c:v>
                </c:pt>
              </c:numCache>
            </c:numRef>
          </c:val>
          <c:extLst>
            <c:ext xmlns:c15="http://schemas.microsoft.com/office/drawing/2012/chart" uri="{02D57815-91ED-43cb-92C2-25804820EDAC}">
              <c15:categoryFilterExceptions>
                <c15:categoryFilterException>
                  <c15:sqref>'Base Graf'!$AZ$5</c15:sqref>
                  <c15:spPr xmlns:c15="http://schemas.microsoft.com/office/drawing/2012/chart">
                    <a:solidFill>
                      <a:schemeClr val="tx1">
                        <a:lumMod val="50000"/>
                        <a:lumOff val="50000"/>
                      </a:schemeClr>
                    </a:solidFill>
                    <a:ln w="19050">
                      <a:solidFill>
                        <a:schemeClr val="lt1"/>
                      </a:solidFill>
                    </a:ln>
                    <a:effectLst/>
                  </c15:spPr>
                  <c15:bubble3D val="0"/>
                  <c15:dLbl>
                    <c:idx val="1"/>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50000"/>
                                <a:lumOff val="50000"/>
                              </a:schemeClr>
                            </a:solidFill>
                            <a:latin typeface="+mn-lt"/>
                            <a:ea typeface="+mn-ea"/>
                            <a:cs typeface="+mn-cs"/>
                          </a:defRPr>
                        </a:pPr>
                        <a:endParaRPr lang="es-AR"/>
                      </a:p>
                    </c:txPr>
                    <c:dLblPos val="outEnd"/>
                    <c:showLegendKey val="0"/>
                    <c:showVal val="0"/>
                    <c:showCatName val="0"/>
                    <c:showSerName val="0"/>
                    <c:showPercent val="1"/>
                    <c:showBubbleSize val="0"/>
                    <c:extLst>
                      <c:ext xmlns:c16="http://schemas.microsoft.com/office/drawing/2014/chart" uri="{C3380CC4-5D6E-409C-BE32-E72D297353CC}">
                        <c16:uniqueId val="{00000007-4B2F-4879-9D55-0FCF426E3DCC}"/>
                      </c:ext>
                    </c:extLst>
                  </c15:dLbl>
                </c15:categoryFilterException>
              </c15:categoryFilterExceptions>
            </c:ext>
            <c:ext xmlns:c16="http://schemas.microsoft.com/office/drawing/2014/chart" uri="{C3380CC4-5D6E-409C-BE32-E72D297353CC}">
              <c16:uniqueId val="{00000012-20D2-485C-A575-426FF507F10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1050" b="0" i="0" u="none" strike="noStrike" kern="1200" baseline="0">
              <a:solidFill>
                <a:schemeClr val="tx1"/>
              </a:solidFill>
              <a:latin typeface="+mn-lt"/>
              <a:ea typeface="+mn-ea"/>
              <a:cs typeface="+mn-cs"/>
            </a:defRPr>
          </a:pPr>
          <a:endParaRPr lang="es-AR"/>
        </a:p>
      </c:txPr>
    </c:legend>
    <c:plotVisOnly val="1"/>
    <c:dispBlanksAs val="gap"/>
    <c:showDLblsOverMax val="0"/>
    <c:extLst/>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Style="combo" dx="22" fmlaLink="$K$6" fmlaRange="'Base Graf'!$BT$4:$BT$5" noThreeD="1" sel="1" val="0"/>
</file>

<file path=xl/ctrlProps/ctrlProp2.xml><?xml version="1.0" encoding="utf-8"?>
<formControlPr xmlns="http://schemas.microsoft.com/office/spreadsheetml/2009/9/main" objectType="Drop" dropStyle="combo" dx="22" fmlaLink="$K$25" fmlaRange="'Base Graf'!$BT$6:$BT$7" noThreeD="1" sel="1" val="0"/>
</file>

<file path=xl/ctrlProps/ctrlProp3.xml><?xml version="1.0" encoding="utf-8"?>
<formControlPr xmlns="http://schemas.microsoft.com/office/spreadsheetml/2009/9/main" objectType="Drop" dropStyle="combo" dx="22" fmlaLink="$K$44" fmlaRange="'Base Graf'!$BT$8:$BT$9" noThreeD="1" sel="2" val="0"/>
</file>

<file path=xl/ctrlProps/ctrlProp4.xml><?xml version="1.0" encoding="utf-8"?>
<formControlPr xmlns="http://schemas.microsoft.com/office/spreadsheetml/2009/9/main" objectType="Drop" dropStyle="combo" dx="22" fmlaLink="$K$64" fmlaRange="'Base Graf'!$BT$10:$BT$14" noThreeD="1" sel="2" val="0"/>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4" Type="http://schemas.openxmlformats.org/officeDocument/2006/relationships/image" Target="../media/image13.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 Id="rId4" Type="http://schemas.openxmlformats.org/officeDocument/2006/relationships/image" Target="../media/image1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171451</xdr:rowOff>
    </xdr:from>
    <xdr:to>
      <xdr:col>6</xdr:col>
      <xdr:colOff>723900</xdr:colOff>
      <xdr:row>21</xdr:row>
      <xdr:rowOff>179638</xdr:rowOff>
    </xdr:to>
    <xdr:pic>
      <xdr:nvPicPr>
        <xdr:cNvPr id="2" name="Imagen 1">
          <a:extLst>
            <a:ext uri="{FF2B5EF4-FFF2-40B4-BE49-F238E27FC236}">
              <a16:creationId xmlns:a16="http://schemas.microsoft.com/office/drawing/2014/main" id="{BA584843-1B4A-76FB-AFCF-19727FAB8317}"/>
            </a:ext>
          </a:extLst>
        </xdr:cNvPr>
        <xdr:cNvPicPr>
          <a:picLocks noChangeAspect="1"/>
        </xdr:cNvPicPr>
      </xdr:nvPicPr>
      <xdr:blipFill>
        <a:blip xmlns:r="http://schemas.openxmlformats.org/officeDocument/2006/relationships" r:embed="rId1"/>
        <a:stretch>
          <a:fillRect/>
        </a:stretch>
      </xdr:blipFill>
      <xdr:spPr>
        <a:xfrm>
          <a:off x="0" y="933451"/>
          <a:ext cx="5295900" cy="3446712"/>
        </a:xfrm>
        <a:prstGeom prst="rect">
          <a:avLst/>
        </a:prstGeom>
      </xdr:spPr>
    </xdr:pic>
    <xdr:clientData/>
  </xdr:twoCellAnchor>
  <xdr:twoCellAnchor editAs="oneCell">
    <xdr:from>
      <xdr:col>6</xdr:col>
      <xdr:colOff>752476</xdr:colOff>
      <xdr:row>3</xdr:row>
      <xdr:rowOff>95250</xdr:rowOff>
    </xdr:from>
    <xdr:to>
      <xdr:col>15</xdr:col>
      <xdr:colOff>314326</xdr:colOff>
      <xdr:row>21</xdr:row>
      <xdr:rowOff>68756</xdr:rowOff>
    </xdr:to>
    <xdr:pic>
      <xdr:nvPicPr>
        <xdr:cNvPr id="3" name="Imagen 2">
          <a:extLst>
            <a:ext uri="{FF2B5EF4-FFF2-40B4-BE49-F238E27FC236}">
              <a16:creationId xmlns:a16="http://schemas.microsoft.com/office/drawing/2014/main" id="{74B4A573-ECEA-45A3-248E-F68BA3F961C2}"/>
            </a:ext>
          </a:extLst>
        </xdr:cNvPr>
        <xdr:cNvPicPr>
          <a:picLocks noChangeAspect="1"/>
        </xdr:cNvPicPr>
      </xdr:nvPicPr>
      <xdr:blipFill>
        <a:blip xmlns:r="http://schemas.openxmlformats.org/officeDocument/2006/relationships" r:embed="rId2"/>
        <a:stretch>
          <a:fillRect/>
        </a:stretch>
      </xdr:blipFill>
      <xdr:spPr>
        <a:xfrm>
          <a:off x="5324476" y="857250"/>
          <a:ext cx="6419850" cy="3412031"/>
        </a:xfrm>
        <a:prstGeom prst="rect">
          <a:avLst/>
        </a:prstGeom>
      </xdr:spPr>
    </xdr:pic>
    <xdr:clientData/>
  </xdr:twoCellAnchor>
  <xdr:twoCellAnchor editAs="oneCell">
    <xdr:from>
      <xdr:col>0</xdr:col>
      <xdr:colOff>0</xdr:colOff>
      <xdr:row>26</xdr:row>
      <xdr:rowOff>0</xdr:rowOff>
    </xdr:from>
    <xdr:to>
      <xdr:col>7</xdr:col>
      <xdr:colOff>232130</xdr:colOff>
      <xdr:row>42</xdr:row>
      <xdr:rowOff>264</xdr:rowOff>
    </xdr:to>
    <xdr:pic>
      <xdr:nvPicPr>
        <xdr:cNvPr id="5" name="Imagen 4">
          <a:extLst>
            <a:ext uri="{FF2B5EF4-FFF2-40B4-BE49-F238E27FC236}">
              <a16:creationId xmlns:a16="http://schemas.microsoft.com/office/drawing/2014/main" id="{AD3E648D-F7C7-D669-34C8-61B482CA8C3F}"/>
            </a:ext>
          </a:extLst>
        </xdr:cNvPr>
        <xdr:cNvPicPr>
          <a:picLocks noChangeAspect="1"/>
        </xdr:cNvPicPr>
      </xdr:nvPicPr>
      <xdr:blipFill>
        <a:blip xmlns:r="http://schemas.openxmlformats.org/officeDocument/2006/relationships" r:embed="rId3"/>
        <a:stretch>
          <a:fillRect/>
        </a:stretch>
      </xdr:blipFill>
      <xdr:spPr>
        <a:xfrm>
          <a:off x="0" y="5200650"/>
          <a:ext cx="5566130" cy="3048264"/>
        </a:xfrm>
        <a:prstGeom prst="rect">
          <a:avLst/>
        </a:prstGeom>
      </xdr:spPr>
    </xdr:pic>
    <xdr:clientData/>
  </xdr:twoCellAnchor>
  <xdr:twoCellAnchor editAs="oneCell">
    <xdr:from>
      <xdr:col>8</xdr:col>
      <xdr:colOff>0</xdr:colOff>
      <xdr:row>26</xdr:row>
      <xdr:rowOff>0</xdr:rowOff>
    </xdr:from>
    <xdr:to>
      <xdr:col>15</xdr:col>
      <xdr:colOff>232130</xdr:colOff>
      <xdr:row>42</xdr:row>
      <xdr:rowOff>264</xdr:rowOff>
    </xdr:to>
    <xdr:pic>
      <xdr:nvPicPr>
        <xdr:cNvPr id="7" name="Imagen 6">
          <a:extLst>
            <a:ext uri="{FF2B5EF4-FFF2-40B4-BE49-F238E27FC236}">
              <a16:creationId xmlns:a16="http://schemas.microsoft.com/office/drawing/2014/main" id="{F2D96D8D-1254-CF39-030A-E1E0CD561F45}"/>
            </a:ext>
          </a:extLst>
        </xdr:cNvPr>
        <xdr:cNvPicPr>
          <a:picLocks noChangeAspect="1"/>
        </xdr:cNvPicPr>
      </xdr:nvPicPr>
      <xdr:blipFill>
        <a:blip xmlns:r="http://schemas.openxmlformats.org/officeDocument/2006/relationships" r:embed="rId4"/>
        <a:stretch>
          <a:fillRect/>
        </a:stretch>
      </xdr:blipFill>
      <xdr:spPr>
        <a:xfrm>
          <a:off x="6096000" y="5200650"/>
          <a:ext cx="5566130" cy="3048264"/>
        </a:xfrm>
        <a:prstGeom prst="rect">
          <a:avLst/>
        </a:prstGeom>
      </xdr:spPr>
    </xdr:pic>
    <xdr:clientData/>
  </xdr:twoCellAnchor>
  <xdr:twoCellAnchor editAs="oneCell">
    <xdr:from>
      <xdr:col>0</xdr:col>
      <xdr:colOff>0</xdr:colOff>
      <xdr:row>47</xdr:row>
      <xdr:rowOff>0</xdr:rowOff>
    </xdr:from>
    <xdr:to>
      <xdr:col>7</xdr:col>
      <xdr:colOff>226034</xdr:colOff>
      <xdr:row>63</xdr:row>
      <xdr:rowOff>36843</xdr:rowOff>
    </xdr:to>
    <xdr:pic>
      <xdr:nvPicPr>
        <xdr:cNvPr id="8" name="Imagen 7">
          <a:extLst>
            <a:ext uri="{FF2B5EF4-FFF2-40B4-BE49-F238E27FC236}">
              <a16:creationId xmlns:a16="http://schemas.microsoft.com/office/drawing/2014/main" id="{3844BF3A-62B9-FD80-7AD0-DBA6FEF0BA0F}"/>
            </a:ext>
          </a:extLst>
        </xdr:cNvPr>
        <xdr:cNvPicPr>
          <a:picLocks noChangeAspect="1"/>
        </xdr:cNvPicPr>
      </xdr:nvPicPr>
      <xdr:blipFill>
        <a:blip xmlns:r="http://schemas.openxmlformats.org/officeDocument/2006/relationships" r:embed="rId5"/>
        <a:stretch>
          <a:fillRect/>
        </a:stretch>
      </xdr:blipFill>
      <xdr:spPr>
        <a:xfrm>
          <a:off x="0" y="9248775"/>
          <a:ext cx="5560034" cy="3084843"/>
        </a:xfrm>
        <a:prstGeom prst="rect">
          <a:avLst/>
        </a:prstGeom>
      </xdr:spPr>
    </xdr:pic>
    <xdr:clientData/>
  </xdr:twoCellAnchor>
  <xdr:twoCellAnchor editAs="oneCell">
    <xdr:from>
      <xdr:col>7</xdr:col>
      <xdr:colOff>733425</xdr:colOff>
      <xdr:row>48</xdr:row>
      <xdr:rowOff>0</xdr:rowOff>
    </xdr:from>
    <xdr:to>
      <xdr:col>15</xdr:col>
      <xdr:colOff>203555</xdr:colOff>
      <xdr:row>64</xdr:row>
      <xdr:rowOff>264</xdr:rowOff>
    </xdr:to>
    <xdr:pic>
      <xdr:nvPicPr>
        <xdr:cNvPr id="9" name="Imagen 8">
          <a:extLst>
            <a:ext uri="{FF2B5EF4-FFF2-40B4-BE49-F238E27FC236}">
              <a16:creationId xmlns:a16="http://schemas.microsoft.com/office/drawing/2014/main" id="{DB72530A-E7A8-21E6-E7A4-8977AF62DB98}"/>
            </a:ext>
          </a:extLst>
        </xdr:cNvPr>
        <xdr:cNvPicPr>
          <a:picLocks noChangeAspect="1"/>
        </xdr:cNvPicPr>
      </xdr:nvPicPr>
      <xdr:blipFill>
        <a:blip xmlns:r="http://schemas.openxmlformats.org/officeDocument/2006/relationships" r:embed="rId6"/>
        <a:stretch>
          <a:fillRect/>
        </a:stretch>
      </xdr:blipFill>
      <xdr:spPr>
        <a:xfrm>
          <a:off x="6067425" y="9439275"/>
          <a:ext cx="5566130" cy="3048264"/>
        </a:xfrm>
        <a:prstGeom prst="rect">
          <a:avLst/>
        </a:prstGeom>
      </xdr:spPr>
    </xdr:pic>
    <xdr:clientData/>
  </xdr:twoCellAnchor>
  <xdr:twoCellAnchor editAs="oneCell">
    <xdr:from>
      <xdr:col>0</xdr:col>
      <xdr:colOff>342899</xdr:colOff>
      <xdr:row>66</xdr:row>
      <xdr:rowOff>47625</xdr:rowOff>
    </xdr:from>
    <xdr:to>
      <xdr:col>6</xdr:col>
      <xdr:colOff>717030</xdr:colOff>
      <xdr:row>86</xdr:row>
      <xdr:rowOff>28575</xdr:rowOff>
    </xdr:to>
    <xdr:pic>
      <xdr:nvPicPr>
        <xdr:cNvPr id="10" name="Imagen 9">
          <a:extLst>
            <a:ext uri="{FF2B5EF4-FFF2-40B4-BE49-F238E27FC236}">
              <a16:creationId xmlns:a16="http://schemas.microsoft.com/office/drawing/2014/main" id="{778230F1-A4EC-93B0-B45B-E2ABAE2D0D74}"/>
            </a:ext>
          </a:extLst>
        </xdr:cNvPr>
        <xdr:cNvPicPr>
          <a:picLocks noChangeAspect="1"/>
        </xdr:cNvPicPr>
      </xdr:nvPicPr>
      <xdr:blipFill>
        <a:blip xmlns:r="http://schemas.openxmlformats.org/officeDocument/2006/relationships" r:embed="rId7"/>
        <a:stretch>
          <a:fillRect/>
        </a:stretch>
      </xdr:blipFill>
      <xdr:spPr>
        <a:xfrm>
          <a:off x="342899" y="12963525"/>
          <a:ext cx="4946131" cy="3790950"/>
        </a:xfrm>
        <a:prstGeom prst="rect">
          <a:avLst/>
        </a:prstGeom>
      </xdr:spPr>
    </xdr:pic>
    <xdr:clientData/>
  </xdr:twoCellAnchor>
  <xdr:twoCellAnchor editAs="oneCell">
    <xdr:from>
      <xdr:col>8</xdr:col>
      <xdr:colOff>0</xdr:colOff>
      <xdr:row>66</xdr:row>
      <xdr:rowOff>190499</xdr:rowOff>
    </xdr:from>
    <xdr:to>
      <xdr:col>15</xdr:col>
      <xdr:colOff>596894</xdr:colOff>
      <xdr:row>84</xdr:row>
      <xdr:rowOff>9524</xdr:rowOff>
    </xdr:to>
    <xdr:pic>
      <xdr:nvPicPr>
        <xdr:cNvPr id="12" name="Imagen 11">
          <a:extLst>
            <a:ext uri="{FF2B5EF4-FFF2-40B4-BE49-F238E27FC236}">
              <a16:creationId xmlns:a16="http://schemas.microsoft.com/office/drawing/2014/main" id="{8F78CD22-43AE-2DAE-3285-915159159425}"/>
            </a:ext>
          </a:extLst>
        </xdr:cNvPr>
        <xdr:cNvPicPr>
          <a:picLocks noChangeAspect="1"/>
        </xdr:cNvPicPr>
      </xdr:nvPicPr>
      <xdr:blipFill>
        <a:blip xmlns:r="http://schemas.openxmlformats.org/officeDocument/2006/relationships" r:embed="rId8"/>
        <a:stretch>
          <a:fillRect/>
        </a:stretch>
      </xdr:blipFill>
      <xdr:spPr>
        <a:xfrm>
          <a:off x="6096000" y="13106399"/>
          <a:ext cx="5930894" cy="3248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752475</xdr:colOff>
          <xdr:row>4</xdr:row>
          <xdr:rowOff>9525</xdr:rowOff>
        </xdr:from>
        <xdr:to>
          <xdr:col>5</xdr:col>
          <xdr:colOff>581025</xdr:colOff>
          <xdr:row>5</xdr:row>
          <xdr:rowOff>180975</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2</xdr:row>
          <xdr:rowOff>133350</xdr:rowOff>
        </xdr:from>
        <xdr:to>
          <xdr:col>14</xdr:col>
          <xdr:colOff>499782</xdr:colOff>
          <xdr:row>20</xdr:row>
          <xdr:rowOff>88526</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grafcomp" spid="_x0000_s77495"/>
                </a:ext>
              </a:extLst>
            </xdr:cNvPicPr>
          </xdr:nvPicPr>
          <xdr:blipFill>
            <a:blip xmlns:r="http://schemas.openxmlformats.org/officeDocument/2006/relationships" r:embed="rId1"/>
            <a:srcRect/>
            <a:stretch>
              <a:fillRect/>
            </a:stretch>
          </xdr:blipFill>
          <xdr:spPr bwMode="auto">
            <a:xfrm>
              <a:off x="5105400" y="514350"/>
              <a:ext cx="6062382" cy="338417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23</xdr:row>
          <xdr:rowOff>19050</xdr:rowOff>
        </xdr:from>
        <xdr:to>
          <xdr:col>5</xdr:col>
          <xdr:colOff>581025</xdr:colOff>
          <xdr:row>24</xdr:row>
          <xdr:rowOff>190500</xdr:rowOff>
        </xdr:to>
        <xdr:sp macro="" textlink="">
          <xdr:nvSpPr>
            <xdr:cNvPr id="12291" name="Drop Dow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22</xdr:row>
          <xdr:rowOff>57150</xdr:rowOff>
        </xdr:from>
        <xdr:to>
          <xdr:col>14</xdr:col>
          <xdr:colOff>495300</xdr:colOff>
          <xdr:row>39</xdr:row>
          <xdr:rowOff>66675</xdr:rowOff>
        </xdr:to>
        <xdr:pic>
          <xdr:nvPicPr>
            <xdr:cNvPr id="5" name="Imagen 4">
              <a:extLst>
                <a:ext uri="{FF2B5EF4-FFF2-40B4-BE49-F238E27FC236}">
                  <a16:creationId xmlns:a16="http://schemas.microsoft.com/office/drawing/2014/main" id="{00000000-0008-0000-0200-000005000000}"/>
                </a:ext>
              </a:extLst>
            </xdr:cNvPr>
            <xdr:cNvPicPr>
              <a:picLocks noChangeAspect="1" noChangeArrowheads="1"/>
              <a:extLst>
                <a:ext uri="{84589F7E-364E-4C9E-8A38-B11213B215E9}">
                  <a14:cameraTool cellRange="grafvto" spid="_x0000_s77496"/>
                </a:ext>
              </a:extLst>
            </xdr:cNvPicPr>
          </xdr:nvPicPr>
          <xdr:blipFill>
            <a:blip xmlns:r="http://schemas.openxmlformats.org/officeDocument/2006/relationships" r:embed="rId2"/>
            <a:srcRect/>
            <a:stretch>
              <a:fillRect/>
            </a:stretch>
          </xdr:blipFill>
          <xdr:spPr bwMode="auto">
            <a:xfrm>
              <a:off x="6619875" y="4248150"/>
              <a:ext cx="6067425" cy="3248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41</xdr:row>
          <xdr:rowOff>114300</xdr:rowOff>
        </xdr:from>
        <xdr:to>
          <xdr:col>5</xdr:col>
          <xdr:colOff>581025</xdr:colOff>
          <xdr:row>43</xdr:row>
          <xdr:rowOff>95250</xdr:rowOff>
        </xdr:to>
        <xdr:sp macro="" textlink="">
          <xdr:nvSpPr>
            <xdr:cNvPr id="12295" name="Drop Down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40</xdr:row>
          <xdr:rowOff>171450</xdr:rowOff>
        </xdr:from>
        <xdr:to>
          <xdr:col>14</xdr:col>
          <xdr:colOff>504825</xdr:colOff>
          <xdr:row>57</xdr:row>
          <xdr:rowOff>180975</xdr:rowOff>
        </xdr:to>
        <xdr:pic>
          <xdr:nvPicPr>
            <xdr:cNvPr id="8" name="Imagen 7">
              <a:extLst>
                <a:ext uri="{FF2B5EF4-FFF2-40B4-BE49-F238E27FC236}">
                  <a16:creationId xmlns:a16="http://schemas.microsoft.com/office/drawing/2014/main" id="{00000000-0008-0000-0200-000008000000}"/>
                </a:ext>
              </a:extLst>
            </xdr:cNvPr>
            <xdr:cNvPicPr>
              <a:picLocks noChangeAspect="1" noChangeArrowheads="1"/>
              <a:extLst>
                <a:ext uri="{84589F7E-364E-4C9E-8A38-B11213B215E9}">
                  <a14:cameraTool cellRange="grafserv" spid="_x0000_s77497"/>
                </a:ext>
              </a:extLst>
            </xdr:cNvPicPr>
          </xdr:nvPicPr>
          <xdr:blipFill>
            <a:blip xmlns:r="http://schemas.openxmlformats.org/officeDocument/2006/relationships" r:embed="rId3"/>
            <a:srcRect/>
            <a:stretch>
              <a:fillRect/>
            </a:stretch>
          </xdr:blipFill>
          <xdr:spPr bwMode="auto">
            <a:xfrm>
              <a:off x="6629400" y="7791450"/>
              <a:ext cx="6067425" cy="3248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647700</xdr:colOff>
          <xdr:row>61</xdr:row>
          <xdr:rowOff>38100</xdr:rowOff>
        </xdr:from>
        <xdr:to>
          <xdr:col>5</xdr:col>
          <xdr:colOff>476250</xdr:colOff>
          <xdr:row>63</xdr:row>
          <xdr:rowOff>19050</xdr:rowOff>
        </xdr:to>
        <xdr:sp macro="" textlink="">
          <xdr:nvSpPr>
            <xdr:cNvPr id="12301" name="Drop Down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60</xdr:row>
          <xdr:rowOff>0</xdr:rowOff>
        </xdr:from>
        <xdr:to>
          <xdr:col>14</xdr:col>
          <xdr:colOff>495300</xdr:colOff>
          <xdr:row>77</xdr:row>
          <xdr:rowOff>9525</xdr:rowOff>
        </xdr:to>
        <xdr:pic>
          <xdr:nvPicPr>
            <xdr:cNvPr id="10" name="Imagen 9">
              <a:extLst>
                <a:ext uri="{FF2B5EF4-FFF2-40B4-BE49-F238E27FC236}">
                  <a16:creationId xmlns:a16="http://schemas.microsoft.com/office/drawing/2014/main" id="{00000000-0008-0000-0200-00000A000000}"/>
                </a:ext>
              </a:extLst>
            </xdr:cNvPr>
            <xdr:cNvPicPr>
              <a:picLocks noChangeAspect="1" noChangeArrowheads="1"/>
              <a:extLst>
                <a:ext uri="{84589F7E-364E-4C9E-8A38-B11213B215E9}">
                  <a14:cameraTool cellRange="grafacreedor" spid="_x0000_s77498"/>
                </a:ext>
              </a:extLst>
            </xdr:cNvPicPr>
          </xdr:nvPicPr>
          <xdr:blipFill>
            <a:blip xmlns:r="http://schemas.openxmlformats.org/officeDocument/2006/relationships" r:embed="rId4"/>
            <a:srcRect/>
            <a:stretch>
              <a:fillRect/>
            </a:stretch>
          </xdr:blipFill>
          <xdr:spPr bwMode="auto">
            <a:xfrm>
              <a:off x="6619875" y="11430000"/>
              <a:ext cx="6067425" cy="3248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304800</xdr:colOff>
      <xdr:row>18</xdr:row>
      <xdr:rowOff>119061</xdr:rowOff>
    </xdr:from>
    <xdr:to>
      <xdr:col>10</xdr:col>
      <xdr:colOff>121875</xdr:colOff>
      <xdr:row>37</xdr:row>
      <xdr:rowOff>92849</xdr:rowOff>
    </xdr:to>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65</xdr:col>
      <xdr:colOff>238125</xdr:colOff>
      <xdr:row>38</xdr:row>
      <xdr:rowOff>38099</xdr:rowOff>
    </xdr:from>
    <xdr:to>
      <xdr:col>65</xdr:col>
      <xdr:colOff>5800125</xdr:colOff>
      <xdr:row>53</xdr:row>
      <xdr:rowOff>172199</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65</xdr:col>
      <xdr:colOff>238125</xdr:colOff>
      <xdr:row>56</xdr:row>
      <xdr:rowOff>66675</xdr:rowOff>
    </xdr:from>
    <xdr:to>
      <xdr:col>65</xdr:col>
      <xdr:colOff>5800125</xdr:colOff>
      <xdr:row>72</xdr:row>
      <xdr:rowOff>10275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65</xdr:col>
      <xdr:colOff>228600</xdr:colOff>
      <xdr:row>92</xdr:row>
      <xdr:rowOff>123825</xdr:rowOff>
    </xdr:from>
    <xdr:to>
      <xdr:col>65</xdr:col>
      <xdr:colOff>5790600</xdr:colOff>
      <xdr:row>108</xdr:row>
      <xdr:rowOff>67425</xdr:rowOff>
    </xdr:to>
    <xdr:graphicFrame macro="">
      <xdr:nvGraphicFramePr>
        <xdr:cNvPr id="13" name="Gráfico 12">
          <a:extLst>
            <a:ext uri="{FF2B5EF4-FFF2-40B4-BE49-F238E27FC236}">
              <a16:creationId xmlns:a16="http://schemas.microsoft.com/office/drawing/2014/main" id="{00000000-0008-0000-08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65</xdr:col>
      <xdr:colOff>209550</xdr:colOff>
      <xdr:row>110</xdr:row>
      <xdr:rowOff>161925</xdr:rowOff>
    </xdr:from>
    <xdr:to>
      <xdr:col>65</xdr:col>
      <xdr:colOff>5771550</xdr:colOff>
      <xdr:row>126</xdr:row>
      <xdr:rowOff>105525</xdr:rowOff>
    </xdr:to>
    <xdr:graphicFrame macro="">
      <xdr:nvGraphicFramePr>
        <xdr:cNvPr id="14" name="Gráfico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65</xdr:col>
      <xdr:colOff>219075</xdr:colOff>
      <xdr:row>141</xdr:row>
      <xdr:rowOff>89647</xdr:rowOff>
    </xdr:from>
    <xdr:to>
      <xdr:col>65</xdr:col>
      <xdr:colOff>5781075</xdr:colOff>
      <xdr:row>163</xdr:row>
      <xdr:rowOff>105525</xdr:rowOff>
    </xdr:to>
    <xdr:graphicFrame macro="">
      <xdr:nvGraphicFramePr>
        <xdr:cNvPr id="7" name="Gráfico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209550</xdr:colOff>
      <xdr:row>166</xdr:row>
      <xdr:rowOff>104775</xdr:rowOff>
    </xdr:from>
    <xdr:to>
      <xdr:col>65</xdr:col>
      <xdr:colOff>5771550</xdr:colOff>
      <xdr:row>182</xdr:row>
      <xdr:rowOff>48375</xdr:rowOff>
    </xdr:to>
    <xdr:graphicFrame macro="">
      <xdr:nvGraphicFramePr>
        <xdr:cNvPr id="12" name="Gráfico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65</xdr:col>
      <xdr:colOff>184897</xdr:colOff>
      <xdr:row>1</xdr:row>
      <xdr:rowOff>124384</xdr:rowOff>
    </xdr:from>
    <xdr:to>
      <xdr:col>66</xdr:col>
      <xdr:colOff>22412</xdr:colOff>
      <xdr:row>18</xdr:row>
      <xdr:rowOff>168088</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65</xdr:col>
      <xdr:colOff>212912</xdr:colOff>
      <xdr:row>18</xdr:row>
      <xdr:rowOff>78441</xdr:rowOff>
    </xdr:from>
    <xdr:to>
      <xdr:col>66</xdr:col>
      <xdr:colOff>733986</xdr:colOff>
      <xdr:row>35</xdr:row>
      <xdr:rowOff>112059</xdr:rowOff>
    </xdr:to>
    <xdr:graphicFrame macro="">
      <xdr:nvGraphicFramePr>
        <xdr:cNvPr id="8" name="Gráfico 7">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cfp01\direccion\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Fto_ a partir del impuesto"/>
      <sheetName val="Fto__a_partir_del_impuesto"/>
      <sheetName val="COP_FED"/>
      <sheetName val="22_PCIAS"/>
      <sheetName val="Tesoro_Nacional"/>
      <sheetName val="Fondo_ATN"/>
      <sheetName val="Coop__Eléct_"/>
      <sheetName val="C_F_E_E_"/>
      <sheetName val="Fto__a_partir_del_impuesto1"/>
      <sheetName val="Fto__a_partir_del_impuesto2"/>
      <sheetName val="COP_FED1"/>
      <sheetName val="22_PCIAS1"/>
      <sheetName val="Tesoro_Nacional1"/>
      <sheetName val="Fondo_ATN1"/>
      <sheetName val="Coop__Eléct_1"/>
      <sheetName val="C_F_E_E_1"/>
      <sheetName val="Fto__a_partir_del_impuesto3"/>
      <sheetName val="[Alt4_Proy2002.x䕬䍘䱅䔮"/>
      <sheetName val="Alt4_Proy2002"/>
      <sheetName val="Fto__a_partir_del_impuesto4"/>
      <sheetName val="COP_FED2"/>
      <sheetName val="22_PCIAS2"/>
      <sheetName val="Tesoro_Nacional2"/>
      <sheetName val="Fondo_ATN2"/>
      <sheetName val="Coop__Eléct_2"/>
      <sheetName val="C_F_E_E_2"/>
      <sheetName val="Fto__a_partir_del_impuesto5"/>
      <sheetName val="[Alt4_Proy2002_x䕬䍘䱅䔮"/>
      <sheetName val="Stock 30-06-19"/>
      <sheetName val="Stock 31-12-18"/>
      <sheetName val="Gráfico 2"/>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ctrlProp" Target="../ctrlProps/ctrlProp4.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40"/>
  <sheetViews>
    <sheetView showGridLines="0" tabSelected="1" zoomScale="81" zoomScaleNormal="81" workbookViewId="0">
      <pane xSplit="3" topLeftCell="D1" activePane="topRight" state="frozen"/>
      <selection activeCell="F1" sqref="F1:F1048576"/>
      <selection pane="topRight"/>
    </sheetView>
  </sheetViews>
  <sheetFormatPr baseColWidth="10" defaultRowHeight="16.5" x14ac:dyDescent="0.3"/>
  <cols>
    <col min="1" max="1" width="5.28515625" style="16" customWidth="1"/>
    <col min="2" max="2" width="46.140625" customWidth="1"/>
    <col min="3" max="3" width="12.85546875" customWidth="1"/>
    <col min="4" max="4" width="15.140625" customWidth="1"/>
    <col min="5" max="5" width="23.140625" customWidth="1"/>
    <col min="6" max="6" width="22.28515625" style="133" customWidth="1"/>
    <col min="7" max="7" width="15.85546875" customWidth="1"/>
    <col min="8" max="8" width="23.28515625" customWidth="1"/>
    <col min="9" max="9" width="16.7109375" customWidth="1"/>
    <col min="10" max="10" width="20.140625" customWidth="1"/>
    <col min="11" max="13" width="16.7109375" customWidth="1"/>
    <col min="14" max="14" width="22" customWidth="1"/>
    <col min="15" max="19" width="16.7109375" customWidth="1"/>
    <col min="20" max="20" width="18.85546875" bestFit="1" customWidth="1"/>
    <col min="21" max="96" width="16.7109375" customWidth="1"/>
  </cols>
  <sheetData>
    <row r="1" spans="1:80" x14ac:dyDescent="0.3">
      <c r="B1" s="286"/>
    </row>
    <row r="2" spans="1:80" ht="20.25" x14ac:dyDescent="0.3">
      <c r="B2" s="289" t="s">
        <v>43</v>
      </c>
      <c r="C2" s="289"/>
      <c r="D2" s="289"/>
      <c r="E2" s="289"/>
      <c r="F2" s="289"/>
      <c r="G2" s="289"/>
      <c r="H2" s="289"/>
      <c r="I2" s="289"/>
      <c r="J2" s="289"/>
      <c r="K2" s="289"/>
      <c r="L2" s="289"/>
      <c r="M2" s="289"/>
      <c r="N2" s="289"/>
      <c r="O2" s="289"/>
      <c r="P2" s="289"/>
      <c r="Q2" s="289"/>
      <c r="R2" s="289"/>
      <c r="S2" s="289"/>
      <c r="T2" s="289"/>
      <c r="U2" s="289"/>
    </row>
    <row r="3" spans="1:80" ht="20.25" x14ac:dyDescent="0.3">
      <c r="B3" s="158" t="s">
        <v>42</v>
      </c>
      <c r="C3" s="7"/>
      <c r="D3" s="7"/>
      <c r="E3" s="7"/>
      <c r="F3" s="130"/>
      <c r="G3" s="7"/>
      <c r="H3" s="7"/>
      <c r="I3" s="7"/>
      <c r="J3" s="7"/>
      <c r="K3" s="7"/>
      <c r="L3" s="7"/>
      <c r="M3" s="7"/>
      <c r="N3" s="7"/>
      <c r="O3" s="7"/>
      <c r="P3" s="7"/>
      <c r="Q3" s="7"/>
      <c r="R3" s="7"/>
      <c r="S3" s="7"/>
      <c r="T3" s="7"/>
      <c r="U3" s="7"/>
    </row>
    <row r="4" spans="1:80" ht="17.25" x14ac:dyDescent="0.3">
      <c r="B4" s="158" t="s">
        <v>44</v>
      </c>
      <c r="C4" s="2"/>
      <c r="D4" s="2"/>
      <c r="E4" s="2"/>
      <c r="F4" s="131"/>
      <c r="G4" s="2"/>
      <c r="H4" s="2"/>
      <c r="I4" s="2"/>
      <c r="J4" s="2"/>
      <c r="K4" s="2"/>
      <c r="L4" s="2"/>
      <c r="M4" s="2"/>
      <c r="N4" s="2"/>
      <c r="O4" s="2"/>
      <c r="P4" s="2"/>
      <c r="Q4" s="2"/>
      <c r="R4" s="1"/>
    </row>
    <row r="5" spans="1:80" ht="17.25" x14ac:dyDescent="0.3">
      <c r="B5" s="5"/>
      <c r="C5" s="2"/>
      <c r="D5" s="2"/>
      <c r="E5" s="2"/>
      <c r="F5" s="131"/>
      <c r="G5" s="2"/>
      <c r="H5" s="2"/>
      <c r="I5" s="2"/>
      <c r="J5" s="2"/>
      <c r="K5" s="2"/>
      <c r="L5" s="2"/>
      <c r="M5" s="2"/>
      <c r="N5" s="2"/>
      <c r="O5" s="2"/>
      <c r="P5" s="2"/>
      <c r="Q5" s="2"/>
      <c r="R5" s="1"/>
    </row>
    <row r="6" spans="1:80" ht="30" customHeight="1" x14ac:dyDescent="0.3">
      <c r="B6" s="297" t="s">
        <v>0</v>
      </c>
      <c r="C6" s="297" t="s">
        <v>1</v>
      </c>
      <c r="D6" s="298" t="s">
        <v>127</v>
      </c>
      <c r="E6" s="302" t="s">
        <v>92</v>
      </c>
      <c r="F6" s="304" t="s">
        <v>93</v>
      </c>
      <c r="G6" s="297" t="s">
        <v>45</v>
      </c>
      <c r="H6" s="299" t="s">
        <v>51</v>
      </c>
      <c r="I6" s="299" t="s">
        <v>50</v>
      </c>
      <c r="J6" s="297" t="s">
        <v>49</v>
      </c>
      <c r="K6" s="299" t="s">
        <v>52</v>
      </c>
      <c r="L6" s="299" t="s">
        <v>53</v>
      </c>
      <c r="M6" s="299" t="s">
        <v>54</v>
      </c>
      <c r="N6" s="299" t="s">
        <v>55</v>
      </c>
      <c r="O6" s="2"/>
      <c r="P6" s="2"/>
      <c r="Q6" s="2"/>
      <c r="R6" s="1"/>
    </row>
    <row r="7" spans="1:80" ht="32.25" customHeight="1" x14ac:dyDescent="0.3">
      <c r="B7" s="297"/>
      <c r="C7" s="297"/>
      <c r="D7" s="298"/>
      <c r="E7" s="303"/>
      <c r="F7" s="305"/>
      <c r="G7" s="297"/>
      <c r="H7" s="300"/>
      <c r="I7" s="300"/>
      <c r="J7" s="297"/>
      <c r="K7" s="300"/>
      <c r="L7" s="300"/>
      <c r="M7" s="300"/>
      <c r="N7" s="300"/>
      <c r="P7" s="172">
        <v>2025</v>
      </c>
      <c r="Q7" s="172">
        <v>2025</v>
      </c>
      <c r="R7" s="172">
        <v>2026</v>
      </c>
      <c r="S7" s="172">
        <v>2026</v>
      </c>
      <c r="T7" s="172">
        <v>2027</v>
      </c>
      <c r="U7" s="172">
        <v>2027</v>
      </c>
      <c r="V7" s="172">
        <v>2028</v>
      </c>
      <c r="W7" s="172">
        <v>2028</v>
      </c>
      <c r="X7" s="172">
        <v>2029</v>
      </c>
      <c r="Y7" s="172">
        <v>2029</v>
      </c>
      <c r="Z7" s="173" t="s">
        <v>162</v>
      </c>
      <c r="AA7" s="173" t="s">
        <v>162</v>
      </c>
      <c r="AB7" s="101"/>
      <c r="AE7" s="102"/>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row>
    <row r="8" spans="1:80" ht="21" customHeight="1" x14ac:dyDescent="0.3">
      <c r="B8" s="297"/>
      <c r="C8" s="297"/>
      <c r="D8" s="298"/>
      <c r="E8" s="161">
        <v>45747</v>
      </c>
      <c r="F8" s="161">
        <v>45747</v>
      </c>
      <c r="G8" s="297"/>
      <c r="H8" s="301"/>
      <c r="I8" s="301"/>
      <c r="J8" s="297"/>
      <c r="K8" s="301"/>
      <c r="L8" s="301"/>
      <c r="M8" s="301"/>
      <c r="N8" s="301"/>
      <c r="O8" s="21"/>
      <c r="P8" s="159" t="s">
        <v>2</v>
      </c>
      <c r="Q8" s="174" t="s">
        <v>95</v>
      </c>
      <c r="R8" s="159" t="s">
        <v>2</v>
      </c>
      <c r="S8" s="174" t="s">
        <v>95</v>
      </c>
      <c r="T8" s="159" t="s">
        <v>2</v>
      </c>
      <c r="U8" s="174" t="s">
        <v>95</v>
      </c>
      <c r="V8" s="159" t="s">
        <v>2</v>
      </c>
      <c r="W8" s="174" t="s">
        <v>95</v>
      </c>
      <c r="X8" s="159" t="s">
        <v>2</v>
      </c>
      <c r="Y8" s="174" t="s">
        <v>95</v>
      </c>
      <c r="Z8" s="159" t="s">
        <v>2</v>
      </c>
      <c r="AA8" s="159" t="s">
        <v>95</v>
      </c>
      <c r="AB8" s="21"/>
      <c r="AE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row>
    <row r="9" spans="1:80" ht="27.95" customHeight="1" x14ac:dyDescent="0.3">
      <c r="B9" s="162" t="s">
        <v>85</v>
      </c>
      <c r="C9" s="162"/>
      <c r="D9" s="162"/>
      <c r="E9" s="163"/>
      <c r="F9" s="163">
        <f>+SUM(F10:F13)</f>
        <v>1.7021974721825166</v>
      </c>
      <c r="G9" s="164">
        <f>+F9/$F$44</f>
        <v>2.6682473455905162E-3</v>
      </c>
      <c r="H9" s="162"/>
      <c r="I9" s="162"/>
      <c r="J9" s="162"/>
      <c r="K9" s="162"/>
      <c r="L9" s="162"/>
      <c r="M9" s="162"/>
      <c r="N9" s="162"/>
      <c r="O9" s="22"/>
      <c r="P9" s="175">
        <f t="shared" ref="P9:AA9" si="0">+SUM(P10:P13)</f>
        <v>544.15071828691418</v>
      </c>
      <c r="Q9" s="175">
        <f t="shared" si="0"/>
        <v>0</v>
      </c>
      <c r="R9" s="175">
        <f t="shared" si="0"/>
        <v>366.40623828243469</v>
      </c>
      <c r="S9" s="175">
        <f t="shared" si="0"/>
        <v>0</v>
      </c>
      <c r="T9" s="175">
        <f t="shared" si="0"/>
        <v>294.95011787790719</v>
      </c>
      <c r="U9" s="175">
        <f t="shared" si="0"/>
        <v>0</v>
      </c>
      <c r="V9" s="175">
        <f t="shared" si="0"/>
        <v>278.1809966190566</v>
      </c>
      <c r="W9" s="175">
        <f t="shared" si="0"/>
        <v>0</v>
      </c>
      <c r="X9" s="175">
        <f t="shared" si="0"/>
        <v>262.45137924683257</v>
      </c>
      <c r="Y9" s="175">
        <f t="shared" si="0"/>
        <v>0</v>
      </c>
      <c r="Z9" s="175">
        <f t="shared" si="0"/>
        <v>212.81056355716242</v>
      </c>
      <c r="AA9" s="175">
        <f t="shared" si="0"/>
        <v>0</v>
      </c>
      <c r="AB9" s="103"/>
      <c r="AE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row>
    <row r="10" spans="1:80" ht="27.95" customHeight="1" x14ac:dyDescent="0.3">
      <c r="A10" s="59"/>
      <c r="B10" s="8" t="s">
        <v>179</v>
      </c>
      <c r="C10" s="8" t="s">
        <v>230</v>
      </c>
      <c r="D10" s="8" t="s">
        <v>2</v>
      </c>
      <c r="E10" s="197">
        <v>1631.39446772</v>
      </c>
      <c r="F10" s="11">
        <f>+IF($D10="USD",$E10,$E10/$C$50)</f>
        <v>1.5191660740030264</v>
      </c>
      <c r="G10" s="207"/>
      <c r="H10" s="27" t="s">
        <v>141</v>
      </c>
      <c r="I10" s="19">
        <v>45176</v>
      </c>
      <c r="J10" s="28" t="s">
        <v>144</v>
      </c>
      <c r="K10" s="20">
        <v>120</v>
      </c>
      <c r="L10" s="9" t="s">
        <v>142</v>
      </c>
      <c r="M10" s="19">
        <v>48845</v>
      </c>
      <c r="N10" s="9" t="s">
        <v>143</v>
      </c>
      <c r="O10" s="12"/>
      <c r="P10" s="65">
        <f t="shared" ref="P10:AA13" si="1">+F61+F105</f>
        <v>323.8682669980592</v>
      </c>
      <c r="Q10" s="65">
        <f t="shared" si="1"/>
        <v>0</v>
      </c>
      <c r="R10" s="65">
        <f t="shared" si="1"/>
        <v>316.24635670276439</v>
      </c>
      <c r="S10" s="65">
        <f t="shared" si="1"/>
        <v>0</v>
      </c>
      <c r="T10" s="65">
        <f t="shared" si="1"/>
        <v>294.95011787790719</v>
      </c>
      <c r="U10" s="65">
        <f t="shared" si="1"/>
        <v>0</v>
      </c>
      <c r="V10" s="65">
        <f t="shared" si="1"/>
        <v>278.1809966190566</v>
      </c>
      <c r="W10" s="65">
        <f t="shared" si="1"/>
        <v>0</v>
      </c>
      <c r="X10" s="65">
        <f t="shared" si="1"/>
        <v>262.45137924683257</v>
      </c>
      <c r="Y10" s="65">
        <f t="shared" si="1"/>
        <v>0</v>
      </c>
      <c r="Z10" s="65">
        <f t="shared" si="1"/>
        <v>212.81056355716242</v>
      </c>
      <c r="AA10" s="65">
        <f t="shared" si="1"/>
        <v>0</v>
      </c>
      <c r="AB10" s="98"/>
      <c r="AE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row>
    <row r="11" spans="1:80" ht="27.95" customHeight="1" x14ac:dyDescent="0.3">
      <c r="A11" s="59"/>
      <c r="B11" s="8" t="s">
        <v>3</v>
      </c>
      <c r="C11" s="8" t="s">
        <v>4</v>
      </c>
      <c r="D11" s="8" t="s">
        <v>2</v>
      </c>
      <c r="E11" s="197">
        <v>144.59138215999999</v>
      </c>
      <c r="F11" s="198">
        <f>+IF($D11="USD",$E11,$E11/$C$50)</f>
        <v>0.13464451836573157</v>
      </c>
      <c r="G11" s="207"/>
      <c r="H11" s="27" t="s">
        <v>141</v>
      </c>
      <c r="I11" s="19">
        <v>43158</v>
      </c>
      <c r="J11" s="28" t="s">
        <v>144</v>
      </c>
      <c r="K11" s="20">
        <v>96</v>
      </c>
      <c r="L11" s="9" t="s">
        <v>142</v>
      </c>
      <c r="M11" s="19">
        <v>46080</v>
      </c>
      <c r="N11" s="9" t="s">
        <v>143</v>
      </c>
      <c r="O11" s="12"/>
      <c r="P11" s="65">
        <f t="shared" si="1"/>
        <v>168.1160008828677</v>
      </c>
      <c r="Q11" s="65">
        <f t="shared" si="1"/>
        <v>0</v>
      </c>
      <c r="R11" s="65">
        <f t="shared" si="1"/>
        <v>26.918408800000002</v>
      </c>
      <c r="S11" s="65">
        <f t="shared" si="1"/>
        <v>0</v>
      </c>
      <c r="T11" s="65">
        <f t="shared" si="1"/>
        <v>0</v>
      </c>
      <c r="U11" s="65">
        <f t="shared" si="1"/>
        <v>0</v>
      </c>
      <c r="V11" s="65">
        <f t="shared" si="1"/>
        <v>0</v>
      </c>
      <c r="W11" s="65">
        <f t="shared" si="1"/>
        <v>0</v>
      </c>
      <c r="X11" s="65">
        <f t="shared" si="1"/>
        <v>0</v>
      </c>
      <c r="Y11" s="65">
        <f t="shared" si="1"/>
        <v>0</v>
      </c>
      <c r="Z11" s="65">
        <f t="shared" si="1"/>
        <v>0</v>
      </c>
      <c r="AA11" s="65">
        <f t="shared" si="1"/>
        <v>0</v>
      </c>
      <c r="AB11" s="98"/>
      <c r="AE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row>
    <row r="12" spans="1:80" ht="27.95" customHeight="1" x14ac:dyDescent="0.3">
      <c r="A12" s="59"/>
      <c r="B12" s="8" t="s">
        <v>5</v>
      </c>
      <c r="C12" s="8" t="s">
        <v>6</v>
      </c>
      <c r="D12" s="8" t="s">
        <v>2</v>
      </c>
      <c r="E12" s="197">
        <v>37.762428759999999</v>
      </c>
      <c r="F12" s="11">
        <f>+IF($D12="USD",$E12,$E12/$C$50)</f>
        <v>3.5164640912582937E-2</v>
      </c>
      <c r="G12" s="204"/>
      <c r="H12" s="27" t="s">
        <v>145</v>
      </c>
      <c r="I12" s="19">
        <v>40603</v>
      </c>
      <c r="J12" s="28" t="s">
        <v>146</v>
      </c>
      <c r="K12" s="20">
        <v>187</v>
      </c>
      <c r="L12" s="9" t="s">
        <v>147</v>
      </c>
      <c r="M12" s="19">
        <v>46296</v>
      </c>
      <c r="N12" s="9" t="s">
        <v>143</v>
      </c>
      <c r="O12" s="12"/>
      <c r="P12" s="65">
        <f t="shared" si="1"/>
        <v>34.104606330000003</v>
      </c>
      <c r="Q12" s="65">
        <f t="shared" si="1"/>
        <v>0</v>
      </c>
      <c r="R12" s="65">
        <f t="shared" si="1"/>
        <v>21.79257561</v>
      </c>
      <c r="S12" s="65">
        <f t="shared" si="1"/>
        <v>0</v>
      </c>
      <c r="T12" s="65">
        <f t="shared" si="1"/>
        <v>0</v>
      </c>
      <c r="U12" s="65">
        <f t="shared" si="1"/>
        <v>0</v>
      </c>
      <c r="V12" s="65">
        <f t="shared" si="1"/>
        <v>0</v>
      </c>
      <c r="W12" s="65">
        <f t="shared" si="1"/>
        <v>0</v>
      </c>
      <c r="X12" s="65">
        <f t="shared" si="1"/>
        <v>0</v>
      </c>
      <c r="Y12" s="65">
        <f t="shared" si="1"/>
        <v>0</v>
      </c>
      <c r="Z12" s="65">
        <f t="shared" si="1"/>
        <v>0</v>
      </c>
      <c r="AA12" s="65">
        <f t="shared" si="1"/>
        <v>0</v>
      </c>
      <c r="AB12" s="98"/>
      <c r="AE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row>
    <row r="13" spans="1:80" ht="27.95" customHeight="1" x14ac:dyDescent="0.3">
      <c r="A13" s="59"/>
      <c r="B13" s="8" t="s">
        <v>7</v>
      </c>
      <c r="C13" s="8" t="s">
        <v>8</v>
      </c>
      <c r="D13" s="8" t="s">
        <v>2</v>
      </c>
      <c r="E13" s="197">
        <v>14.1990318</v>
      </c>
      <c r="F13" s="11">
        <f>+IF($D13="USD",$E13,$E13/$C$50)</f>
        <v>1.3222238901175649E-2</v>
      </c>
      <c r="G13" s="205"/>
      <c r="H13" s="27" t="s">
        <v>141</v>
      </c>
      <c r="I13" s="19">
        <v>43104</v>
      </c>
      <c r="J13" s="28" t="s">
        <v>144</v>
      </c>
      <c r="K13" s="20">
        <v>96</v>
      </c>
      <c r="L13" s="9" t="s">
        <v>142</v>
      </c>
      <c r="M13" s="19">
        <v>46026</v>
      </c>
      <c r="N13" s="9" t="s">
        <v>143</v>
      </c>
      <c r="O13" s="12"/>
      <c r="P13" s="65">
        <f t="shared" si="1"/>
        <v>18.061844075987302</v>
      </c>
      <c r="Q13" s="65">
        <f t="shared" si="1"/>
        <v>0</v>
      </c>
      <c r="R13" s="65">
        <f t="shared" si="1"/>
        <v>1.4488971696702855</v>
      </c>
      <c r="S13" s="65">
        <f t="shared" si="1"/>
        <v>0</v>
      </c>
      <c r="T13" s="65">
        <f t="shared" si="1"/>
        <v>0</v>
      </c>
      <c r="U13" s="65">
        <f t="shared" si="1"/>
        <v>0</v>
      </c>
      <c r="V13" s="65">
        <f t="shared" si="1"/>
        <v>0</v>
      </c>
      <c r="W13" s="65">
        <f t="shared" si="1"/>
        <v>0</v>
      </c>
      <c r="X13" s="65">
        <f t="shared" si="1"/>
        <v>0</v>
      </c>
      <c r="Y13" s="65">
        <f t="shared" si="1"/>
        <v>0</v>
      </c>
      <c r="Z13" s="65">
        <f t="shared" si="1"/>
        <v>0</v>
      </c>
      <c r="AA13" s="65">
        <f t="shared" si="1"/>
        <v>0</v>
      </c>
      <c r="AB13" s="98"/>
      <c r="AE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row>
    <row r="14" spans="1:80" ht="27.95" customHeight="1" x14ac:dyDescent="0.3">
      <c r="A14" s="59"/>
      <c r="B14" s="162" t="s">
        <v>86</v>
      </c>
      <c r="C14" s="162"/>
      <c r="D14" s="162"/>
      <c r="E14" s="162"/>
      <c r="F14" s="163">
        <f>+SUM(F15:F16)</f>
        <v>18.00190289725527</v>
      </c>
      <c r="G14" s="164">
        <f>+F14/$F$44</f>
        <v>2.8218541271590635E-2</v>
      </c>
      <c r="H14" s="165"/>
      <c r="I14" s="162"/>
      <c r="J14" s="166"/>
      <c r="K14" s="162"/>
      <c r="L14" s="162"/>
      <c r="M14" s="162"/>
      <c r="N14" s="162"/>
      <c r="O14" s="22"/>
      <c r="P14" s="175">
        <f>+P16+P15</f>
        <v>14952.344600552928</v>
      </c>
      <c r="Q14" s="175">
        <f t="shared" ref="Q14:AA14" si="2">+Q16+Q15</f>
        <v>0</v>
      </c>
      <c r="R14" s="175">
        <f t="shared" si="2"/>
        <v>17967.914616157872</v>
      </c>
      <c r="S14" s="175">
        <f t="shared" si="2"/>
        <v>0</v>
      </c>
      <c r="T14" s="175">
        <f t="shared" si="2"/>
        <v>10851.336481617147</v>
      </c>
      <c r="U14" s="175">
        <f t="shared" si="2"/>
        <v>0</v>
      </c>
      <c r="V14" s="175">
        <f t="shared" si="2"/>
        <v>6640.4444444444462</v>
      </c>
      <c r="W14" s="175">
        <f t="shared" si="2"/>
        <v>0</v>
      </c>
      <c r="X14" s="175">
        <f t="shared" si="2"/>
        <v>0</v>
      </c>
      <c r="Y14" s="175">
        <f t="shared" si="2"/>
        <v>0</v>
      </c>
      <c r="Z14" s="175">
        <f t="shared" si="2"/>
        <v>0</v>
      </c>
      <c r="AA14" s="175">
        <f t="shared" si="2"/>
        <v>0</v>
      </c>
      <c r="AB14" s="103"/>
      <c r="AE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row>
    <row r="15" spans="1:80" ht="27.95" customHeight="1" x14ac:dyDescent="0.3">
      <c r="A15" s="59"/>
      <c r="B15" s="8" t="s">
        <v>247</v>
      </c>
      <c r="C15" s="8" t="s">
        <v>248</v>
      </c>
      <c r="D15" s="8" t="s">
        <v>2</v>
      </c>
      <c r="E15" s="197">
        <v>10000</v>
      </c>
      <c r="F15" s="198">
        <f>+IF($D15="USD",$E15,$E15/$C$50)</f>
        <v>9.312070771737865</v>
      </c>
      <c r="G15" s="205"/>
      <c r="H15" s="210" t="s">
        <v>141</v>
      </c>
      <c r="I15" s="19">
        <v>45717</v>
      </c>
      <c r="J15" s="28" t="s">
        <v>249</v>
      </c>
      <c r="K15" s="20">
        <v>60</v>
      </c>
      <c r="L15" s="9" t="s">
        <v>142</v>
      </c>
      <c r="M15" s="19">
        <v>11018</v>
      </c>
      <c r="N15" s="9" t="s">
        <v>143</v>
      </c>
      <c r="O15" s="12"/>
      <c r="P15" s="65">
        <f t="shared" ref="P15:AA16" si="3">+F66+F110</f>
        <v>8026.9411425968137</v>
      </c>
      <c r="Q15" s="65">
        <f t="shared" si="3"/>
        <v>0</v>
      </c>
      <c r="R15" s="65">
        <f t="shared" si="3"/>
        <v>12715.507659290364</v>
      </c>
      <c r="S15" s="65">
        <f t="shared" si="3"/>
        <v>0</v>
      </c>
      <c r="T15" s="65">
        <f t="shared" si="3"/>
        <v>8982.2957452494102</v>
      </c>
      <c r="U15" s="65">
        <f t="shared" si="3"/>
        <v>0</v>
      </c>
      <c r="V15" s="65">
        <f t="shared" si="3"/>
        <v>6640.4444444444462</v>
      </c>
      <c r="W15" s="65">
        <f t="shared" si="3"/>
        <v>0</v>
      </c>
      <c r="X15" s="65">
        <f t="shared" si="3"/>
        <v>0</v>
      </c>
      <c r="Y15" s="65">
        <f t="shared" si="3"/>
        <v>0</v>
      </c>
      <c r="Z15" s="65">
        <f t="shared" si="3"/>
        <v>0</v>
      </c>
      <c r="AA15" s="65">
        <f t="shared" si="3"/>
        <v>0</v>
      </c>
      <c r="AB15" s="98"/>
      <c r="AE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row>
    <row r="16" spans="1:80" ht="27.95" customHeight="1" x14ac:dyDescent="0.3">
      <c r="A16" s="59"/>
      <c r="B16" s="151" t="s">
        <v>135</v>
      </c>
      <c r="C16" s="151" t="s">
        <v>136</v>
      </c>
      <c r="D16" s="151" t="s">
        <v>2</v>
      </c>
      <c r="E16" s="197">
        <v>9331.7934737900014</v>
      </c>
      <c r="F16" s="198">
        <f>+IF($D16="USD",$E16,$E16/$C$50)</f>
        <v>8.6898321255174036</v>
      </c>
      <c r="G16" s="209"/>
      <c r="H16" s="210" t="s">
        <v>141</v>
      </c>
      <c r="I16" s="19">
        <v>44684</v>
      </c>
      <c r="J16" s="211" t="s">
        <v>149</v>
      </c>
      <c r="K16" s="212">
        <v>60</v>
      </c>
      <c r="L16" s="197" t="s">
        <v>142</v>
      </c>
      <c r="M16" s="19">
        <v>46510</v>
      </c>
      <c r="N16" s="197" t="s">
        <v>143</v>
      </c>
      <c r="O16" s="12"/>
      <c r="P16" s="65">
        <f t="shared" si="3"/>
        <v>6925.4034579561139</v>
      </c>
      <c r="Q16" s="65">
        <f t="shared" si="3"/>
        <v>0</v>
      </c>
      <c r="R16" s="65">
        <f t="shared" si="3"/>
        <v>5252.4069568675086</v>
      </c>
      <c r="S16" s="65">
        <f t="shared" si="3"/>
        <v>0</v>
      </c>
      <c r="T16" s="65">
        <f t="shared" si="3"/>
        <v>1869.0407363677373</v>
      </c>
      <c r="U16" s="65">
        <f t="shared" si="3"/>
        <v>0</v>
      </c>
      <c r="V16" s="65">
        <f t="shared" si="3"/>
        <v>0</v>
      </c>
      <c r="W16" s="65">
        <f t="shared" si="3"/>
        <v>0</v>
      </c>
      <c r="X16" s="65">
        <f t="shared" si="3"/>
        <v>0</v>
      </c>
      <c r="Y16" s="65">
        <f t="shared" si="3"/>
        <v>0</v>
      </c>
      <c r="Z16" s="65">
        <f t="shared" si="3"/>
        <v>0</v>
      </c>
      <c r="AA16" s="65">
        <f t="shared" si="3"/>
        <v>0</v>
      </c>
      <c r="AB16" s="98"/>
      <c r="AE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row>
    <row r="17" spans="1:94" ht="27.95" customHeight="1" x14ac:dyDescent="0.3">
      <c r="A17" s="59"/>
      <c r="B17" s="162" t="s">
        <v>9</v>
      </c>
      <c r="C17" s="162"/>
      <c r="D17" s="162"/>
      <c r="E17" s="162"/>
      <c r="F17" s="163">
        <f>+SUM(F18,F29)</f>
        <v>187.03159739</v>
      </c>
      <c r="G17" s="164">
        <f>+F17/$F$44</f>
        <v>0.29317783126393443</v>
      </c>
      <c r="H17" s="165"/>
      <c r="I17" s="162"/>
      <c r="J17" s="166"/>
      <c r="K17" s="162"/>
      <c r="L17" s="162"/>
      <c r="M17" s="162"/>
      <c r="N17" s="162"/>
      <c r="O17" s="22"/>
      <c r="P17" s="175">
        <f t="shared" ref="P17:AA17" si="4">+P18+P29</f>
        <v>0</v>
      </c>
      <c r="Q17" s="175">
        <f t="shared" si="4"/>
        <v>30.062178451631226</v>
      </c>
      <c r="R17" s="175">
        <f t="shared" si="4"/>
        <v>0</v>
      </c>
      <c r="S17" s="175">
        <f t="shared" si="4"/>
        <v>22.902845978165534</v>
      </c>
      <c r="T17" s="175">
        <f t="shared" si="4"/>
        <v>0</v>
      </c>
      <c r="U17" s="175">
        <f t="shared" si="4"/>
        <v>21.468079149903794</v>
      </c>
      <c r="V17" s="175">
        <f t="shared" si="4"/>
        <v>0</v>
      </c>
      <c r="W17" s="175">
        <f t="shared" si="4"/>
        <v>20.15930458015373</v>
      </c>
      <c r="X17" s="175">
        <f t="shared" si="4"/>
        <v>0</v>
      </c>
      <c r="Y17" s="175">
        <f t="shared" si="4"/>
        <v>18.777986751500453</v>
      </c>
      <c r="Z17" s="175">
        <f t="shared" si="4"/>
        <v>0</v>
      </c>
      <c r="AA17" s="175">
        <f t="shared" si="4"/>
        <v>12.703251589753044</v>
      </c>
      <c r="AB17" s="103"/>
      <c r="AE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row>
    <row r="18" spans="1:94" ht="27.95" customHeight="1" x14ac:dyDescent="0.3">
      <c r="A18" s="59"/>
      <c r="B18" s="167" t="s">
        <v>10</v>
      </c>
      <c r="C18" s="167"/>
      <c r="D18" s="167"/>
      <c r="E18" s="167"/>
      <c r="F18" s="168">
        <f>+SUM(F19:F28)</f>
        <v>155.86552843000001</v>
      </c>
      <c r="G18" s="167"/>
      <c r="H18" s="169"/>
      <c r="I18" s="167"/>
      <c r="J18" s="170"/>
      <c r="K18" s="167"/>
      <c r="L18" s="167"/>
      <c r="M18" s="167"/>
      <c r="N18" s="167"/>
      <c r="O18" s="23"/>
      <c r="P18" s="177">
        <f t="shared" ref="P18:AA18" si="5">+SUM(P19:P28)</f>
        <v>0</v>
      </c>
      <c r="Q18" s="177">
        <f t="shared" si="5"/>
        <v>26.187590574240215</v>
      </c>
      <c r="R18" s="177">
        <f t="shared" si="5"/>
        <v>0</v>
      </c>
      <c r="S18" s="177">
        <f t="shared" si="5"/>
        <v>18.939165273444171</v>
      </c>
      <c r="T18" s="177">
        <f t="shared" si="5"/>
        <v>0</v>
      </c>
      <c r="U18" s="177">
        <f t="shared" si="5"/>
        <v>17.757820416358406</v>
      </c>
      <c r="V18" s="177">
        <f t="shared" si="5"/>
        <v>0</v>
      </c>
      <c r="W18" s="177">
        <f t="shared" si="5"/>
        <v>16.58634722302012</v>
      </c>
      <c r="X18" s="177">
        <f t="shared" si="5"/>
        <v>0</v>
      </c>
      <c r="Y18" s="177">
        <f t="shared" si="5"/>
        <v>15.327561950463981</v>
      </c>
      <c r="Z18" s="177">
        <f t="shared" si="5"/>
        <v>0</v>
      </c>
      <c r="AA18" s="177">
        <f t="shared" si="5"/>
        <v>10.221771318218414</v>
      </c>
      <c r="AB18" s="99"/>
      <c r="AE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row>
    <row r="19" spans="1:94" ht="27.95" customHeight="1" x14ac:dyDescent="0.3">
      <c r="A19" s="59"/>
      <c r="B19" s="8" t="s">
        <v>17</v>
      </c>
      <c r="C19" s="8" t="s">
        <v>18</v>
      </c>
      <c r="D19" s="8" t="s">
        <v>95</v>
      </c>
      <c r="E19" s="11">
        <v>38.117709320000003</v>
      </c>
      <c r="F19" s="11">
        <f t="shared" ref="F19:F28" si="6">+IF($D19="USD",$E19,$E19/$C$50)</f>
        <v>38.117709320000003</v>
      </c>
      <c r="G19" s="203"/>
      <c r="H19" s="27" t="s">
        <v>141</v>
      </c>
      <c r="I19" s="19">
        <v>42050</v>
      </c>
      <c r="J19" s="28" t="s">
        <v>150</v>
      </c>
      <c r="K19" s="20">
        <v>300</v>
      </c>
      <c r="L19" s="9" t="s">
        <v>148</v>
      </c>
      <c r="M19" s="19">
        <v>51181</v>
      </c>
      <c r="N19" s="9" t="s">
        <v>143</v>
      </c>
      <c r="O19" s="12"/>
      <c r="P19" s="65">
        <f t="shared" ref="P19:P28" si="7">+F70+F114</f>
        <v>0</v>
      </c>
      <c r="Q19" s="65">
        <f t="shared" ref="Q19:Q28" si="8">+G70+G114</f>
        <v>4.9658162935826473</v>
      </c>
      <c r="R19" s="65">
        <f t="shared" ref="R19:R28" si="9">+H70+H114</f>
        <v>0</v>
      </c>
      <c r="S19" s="65">
        <f t="shared" ref="S19:S28" si="10">+I70+I114</f>
        <v>4.4014097737408493</v>
      </c>
      <c r="T19" s="65">
        <f t="shared" ref="T19:T28" si="11">+J70+J114</f>
        <v>0</v>
      </c>
      <c r="U19" s="65">
        <f t="shared" ref="U19:U28" si="12">+K70+K114</f>
        <v>4.1145536468848034</v>
      </c>
      <c r="V19" s="65">
        <f t="shared" ref="V19:V28" si="13">+L70+L114</f>
        <v>0</v>
      </c>
      <c r="W19" s="65">
        <f t="shared" ref="W19:W28" si="14">+M70+M114</f>
        <v>3.8576340201723971</v>
      </c>
      <c r="X19" s="65">
        <f t="shared" ref="X19:X28" si="15">+N70+N114</f>
        <v>0</v>
      </c>
      <c r="Y19" s="65">
        <f t="shared" ref="Y19:Y28" si="16">+O70+O114</f>
        <v>3.5117389572438689</v>
      </c>
      <c r="Z19" s="65">
        <f t="shared" ref="Z19:Z28" si="17">+P70+P114</f>
        <v>0</v>
      </c>
      <c r="AA19" s="65">
        <f t="shared" ref="AA19:AA28" si="18">+Q70+Q114</f>
        <v>0</v>
      </c>
      <c r="AB19" s="98"/>
      <c r="AE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O19" s="104"/>
      <c r="CP19" s="105"/>
    </row>
    <row r="20" spans="1:94" ht="27.95" customHeight="1" x14ac:dyDescent="0.3">
      <c r="A20" s="59"/>
      <c r="B20" s="8" t="s">
        <v>121</v>
      </c>
      <c r="C20" s="8" t="s">
        <v>122</v>
      </c>
      <c r="D20" s="8" t="s">
        <v>95</v>
      </c>
      <c r="E20" s="11">
        <v>34.451999999999998</v>
      </c>
      <c r="F20" s="11">
        <f t="shared" si="6"/>
        <v>34.451999999999998</v>
      </c>
      <c r="G20" s="8"/>
      <c r="H20" s="27" t="s">
        <v>141</v>
      </c>
      <c r="I20" s="19">
        <v>44313</v>
      </c>
      <c r="J20" s="28" t="s">
        <v>150</v>
      </c>
      <c r="K20" s="20">
        <v>283</v>
      </c>
      <c r="L20" s="9" t="s">
        <v>148</v>
      </c>
      <c r="M20" s="19">
        <v>52916</v>
      </c>
      <c r="N20" s="9" t="s">
        <v>143</v>
      </c>
      <c r="O20" s="12"/>
      <c r="P20" s="65">
        <f t="shared" si="7"/>
        <v>0</v>
      </c>
      <c r="Q20" s="65">
        <f t="shared" si="8"/>
        <v>3.9457115768219175</v>
      </c>
      <c r="R20" s="65">
        <f t="shared" si="9"/>
        <v>0</v>
      </c>
      <c r="S20" s="65">
        <f t="shared" si="10"/>
        <v>3.3401034660821916</v>
      </c>
      <c r="T20" s="65">
        <f t="shared" si="11"/>
        <v>0</v>
      </c>
      <c r="U20" s="65">
        <f t="shared" si="12"/>
        <v>3.1234338941917805</v>
      </c>
      <c r="V20" s="65">
        <f t="shared" si="13"/>
        <v>0</v>
      </c>
      <c r="W20" s="65">
        <f t="shared" si="14"/>
        <v>2.8799597224109585</v>
      </c>
      <c r="X20" s="65">
        <f t="shared" si="15"/>
        <v>0</v>
      </c>
      <c r="Y20" s="65">
        <f t="shared" si="16"/>
        <v>2.6213441326027391</v>
      </c>
      <c r="Z20" s="65">
        <f t="shared" si="17"/>
        <v>0</v>
      </c>
      <c r="AA20" s="65">
        <f t="shared" si="18"/>
        <v>0.7314653380195284</v>
      </c>
      <c r="AB20" s="98"/>
      <c r="AE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O20" s="104"/>
      <c r="CP20" s="105"/>
    </row>
    <row r="21" spans="1:94" ht="27.95" customHeight="1" x14ac:dyDescent="0.3">
      <c r="A21" s="59"/>
      <c r="B21" s="8" t="s">
        <v>11</v>
      </c>
      <c r="C21" s="8" t="s">
        <v>12</v>
      </c>
      <c r="D21" s="8" t="s">
        <v>95</v>
      </c>
      <c r="E21" s="11">
        <v>34.218385130000001</v>
      </c>
      <c r="F21" s="11">
        <f t="shared" si="6"/>
        <v>34.218385130000001</v>
      </c>
      <c r="G21" s="8"/>
      <c r="H21" s="27" t="s">
        <v>141</v>
      </c>
      <c r="I21" s="19">
        <v>39557</v>
      </c>
      <c r="J21" s="28" t="s">
        <v>150</v>
      </c>
      <c r="K21" s="20">
        <v>344</v>
      </c>
      <c r="L21" s="9" t="s">
        <v>148</v>
      </c>
      <c r="M21" s="19">
        <v>50028</v>
      </c>
      <c r="N21" s="9" t="s">
        <v>143</v>
      </c>
      <c r="O21" s="12"/>
      <c r="P21" s="65">
        <f t="shared" si="7"/>
        <v>0</v>
      </c>
      <c r="Q21" s="65">
        <f t="shared" si="8"/>
        <v>5.0139422398450382</v>
      </c>
      <c r="R21" s="65">
        <f t="shared" si="9"/>
        <v>0</v>
      </c>
      <c r="S21" s="65">
        <f t="shared" si="10"/>
        <v>4.3745201517035204</v>
      </c>
      <c r="T21" s="65">
        <f t="shared" si="11"/>
        <v>0</v>
      </c>
      <c r="U21" s="65">
        <f t="shared" si="12"/>
        <v>4.1180428083766794</v>
      </c>
      <c r="V21" s="65">
        <f t="shared" si="13"/>
        <v>0</v>
      </c>
      <c r="W21" s="65">
        <f t="shared" si="14"/>
        <v>3.8336970122090057</v>
      </c>
      <c r="X21" s="65">
        <f t="shared" si="15"/>
        <v>0</v>
      </c>
      <c r="Y21" s="65">
        <f t="shared" si="16"/>
        <v>3.5803372137650245</v>
      </c>
      <c r="Z21" s="65">
        <f t="shared" si="17"/>
        <v>0</v>
      </c>
      <c r="AA21" s="65">
        <f t="shared" si="18"/>
        <v>3.1478801840730974</v>
      </c>
      <c r="AB21" s="98"/>
      <c r="AE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O21" s="104"/>
      <c r="CP21" s="105"/>
    </row>
    <row r="22" spans="1:94" ht="27.95" customHeight="1" x14ac:dyDescent="0.3">
      <c r="A22" s="59"/>
      <c r="B22" s="8" t="s">
        <v>13</v>
      </c>
      <c r="C22" s="8" t="s">
        <v>14</v>
      </c>
      <c r="D22" s="8" t="s">
        <v>95</v>
      </c>
      <c r="E22" s="11">
        <v>24.581027089999999</v>
      </c>
      <c r="F22" s="11">
        <f t="shared" si="6"/>
        <v>24.581027089999999</v>
      </c>
      <c r="G22" s="8"/>
      <c r="H22" s="27" t="s">
        <v>141</v>
      </c>
      <c r="I22" s="19">
        <v>39555</v>
      </c>
      <c r="J22" s="28" t="s">
        <v>150</v>
      </c>
      <c r="K22" s="20">
        <v>300</v>
      </c>
      <c r="L22" s="9" t="s">
        <v>148</v>
      </c>
      <c r="M22" s="19">
        <v>48686</v>
      </c>
      <c r="N22" s="9" t="s">
        <v>143</v>
      </c>
      <c r="O22" s="12"/>
      <c r="P22" s="65">
        <f t="shared" si="7"/>
        <v>0</v>
      </c>
      <c r="Q22" s="65">
        <f t="shared" si="8"/>
        <v>4.6937306599999982</v>
      </c>
      <c r="R22" s="65">
        <f t="shared" si="9"/>
        <v>0</v>
      </c>
      <c r="S22" s="65">
        <f t="shared" si="10"/>
        <v>4.141534629999998</v>
      </c>
      <c r="T22" s="65">
        <f t="shared" si="11"/>
        <v>0</v>
      </c>
      <c r="U22" s="65">
        <f t="shared" si="12"/>
        <v>3.889540869999998</v>
      </c>
      <c r="V22" s="65">
        <f t="shared" si="13"/>
        <v>0</v>
      </c>
      <c r="W22" s="65">
        <f t="shared" si="14"/>
        <v>3.6522588899999979</v>
      </c>
      <c r="X22" s="65">
        <f t="shared" si="15"/>
        <v>0</v>
      </c>
      <c r="Y22" s="65">
        <f t="shared" si="16"/>
        <v>3.412817109999998</v>
      </c>
      <c r="Z22" s="65">
        <f t="shared" si="17"/>
        <v>0</v>
      </c>
      <c r="AA22" s="65">
        <f t="shared" si="18"/>
        <v>3.3443200038358571</v>
      </c>
      <c r="AB22" s="98"/>
      <c r="AE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O22" s="104"/>
      <c r="CP22" s="105"/>
    </row>
    <row r="23" spans="1:94" ht="27.95" customHeight="1" x14ac:dyDescent="0.3">
      <c r="A23" s="59"/>
      <c r="B23" s="8" t="s">
        <v>21</v>
      </c>
      <c r="C23" s="8" t="s">
        <v>22</v>
      </c>
      <c r="D23" s="8" t="s">
        <v>95</v>
      </c>
      <c r="E23" s="11">
        <v>13.391793910000001</v>
      </c>
      <c r="F23" s="11">
        <f t="shared" si="6"/>
        <v>13.391793910000001</v>
      </c>
      <c r="G23" s="8"/>
      <c r="H23" s="27" t="s">
        <v>141</v>
      </c>
      <c r="I23" s="19">
        <v>43084</v>
      </c>
      <c r="J23" s="28" t="s">
        <v>150</v>
      </c>
      <c r="K23" s="20">
        <v>292</v>
      </c>
      <c r="L23" s="9" t="s">
        <v>148</v>
      </c>
      <c r="M23" s="19">
        <v>51971</v>
      </c>
      <c r="N23" s="9" t="s">
        <v>143</v>
      </c>
      <c r="O23" s="12"/>
      <c r="P23" s="65">
        <f t="shared" si="7"/>
        <v>0</v>
      </c>
      <c r="Q23" s="65">
        <f t="shared" si="8"/>
        <v>1.5029079501483107</v>
      </c>
      <c r="R23" s="65">
        <f t="shared" si="9"/>
        <v>0</v>
      </c>
      <c r="S23" s="65">
        <f t="shared" si="10"/>
        <v>1.393349853044147</v>
      </c>
      <c r="T23" s="65">
        <f t="shared" si="11"/>
        <v>0</v>
      </c>
      <c r="U23" s="65">
        <f t="shared" si="12"/>
        <v>1.3032361310998364</v>
      </c>
      <c r="V23" s="65">
        <f t="shared" si="13"/>
        <v>0</v>
      </c>
      <c r="W23" s="65">
        <f t="shared" si="14"/>
        <v>1.2116325917377759</v>
      </c>
      <c r="X23" s="65">
        <f t="shared" si="15"/>
        <v>0</v>
      </c>
      <c r="Y23" s="65">
        <f t="shared" si="16"/>
        <v>1.1027405871231024</v>
      </c>
      <c r="Z23" s="65">
        <f t="shared" si="17"/>
        <v>0</v>
      </c>
      <c r="AA23" s="65">
        <f t="shared" si="18"/>
        <v>2.2186995063097994</v>
      </c>
      <c r="AB23" s="98"/>
      <c r="AE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O23" s="104"/>
      <c r="CP23" s="105"/>
    </row>
    <row r="24" spans="1:94" ht="27.95" customHeight="1" x14ac:dyDescent="0.3">
      <c r="A24" s="59"/>
      <c r="B24" s="8" t="s">
        <v>138</v>
      </c>
      <c r="C24" s="8" t="s">
        <v>204</v>
      </c>
      <c r="D24" s="8" t="s">
        <v>95</v>
      </c>
      <c r="E24" s="11">
        <v>5.0544665999999996</v>
      </c>
      <c r="F24" s="11">
        <f t="shared" si="6"/>
        <v>5.0544665999999996</v>
      </c>
      <c r="G24" s="206"/>
      <c r="H24" s="27" t="s">
        <v>141</v>
      </c>
      <c r="I24" s="19">
        <v>44774</v>
      </c>
      <c r="J24" s="28" t="s">
        <v>151</v>
      </c>
      <c r="K24" s="20">
        <v>173</v>
      </c>
      <c r="L24" s="9" t="s">
        <v>148</v>
      </c>
      <c r="M24" s="19">
        <v>50055</v>
      </c>
      <c r="N24" s="9" t="s">
        <v>143</v>
      </c>
      <c r="O24" s="12"/>
      <c r="P24" s="65">
        <f t="shared" si="7"/>
        <v>0</v>
      </c>
      <c r="Q24" s="65">
        <f t="shared" si="8"/>
        <v>0.38561258090176237</v>
      </c>
      <c r="R24" s="65">
        <f t="shared" si="9"/>
        <v>0</v>
      </c>
      <c r="S24" s="65">
        <f t="shared" si="10"/>
        <v>0.70577937920423706</v>
      </c>
      <c r="T24" s="65">
        <f t="shared" si="11"/>
        <v>0</v>
      </c>
      <c r="U24" s="65">
        <f t="shared" si="12"/>
        <v>0.65967671263884187</v>
      </c>
      <c r="V24" s="65">
        <f t="shared" si="13"/>
        <v>0</v>
      </c>
      <c r="W24" s="65">
        <f t="shared" si="14"/>
        <v>0.63367974632479207</v>
      </c>
      <c r="X24" s="65">
        <f t="shared" si="15"/>
        <v>0</v>
      </c>
      <c r="Y24" s="65">
        <f t="shared" si="16"/>
        <v>0.61138454136520137</v>
      </c>
      <c r="Z24" s="65">
        <f t="shared" si="17"/>
        <v>0</v>
      </c>
      <c r="AA24" s="65">
        <f t="shared" si="18"/>
        <v>0</v>
      </c>
      <c r="AB24" s="98"/>
      <c r="AE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O24" s="104"/>
      <c r="CP24" s="105"/>
    </row>
    <row r="25" spans="1:94" ht="27.95" customHeight="1" x14ac:dyDescent="0.3">
      <c r="A25" s="59"/>
      <c r="B25" s="8" t="s">
        <v>15</v>
      </c>
      <c r="C25" s="8" t="s">
        <v>16</v>
      </c>
      <c r="D25" s="8" t="s">
        <v>95</v>
      </c>
      <c r="E25" s="11">
        <v>2.4354049299999998</v>
      </c>
      <c r="F25" s="11">
        <f t="shared" si="6"/>
        <v>2.4354049299999998</v>
      </c>
      <c r="G25" s="8"/>
      <c r="H25" s="27" t="s">
        <v>141</v>
      </c>
      <c r="I25" s="19">
        <v>38588</v>
      </c>
      <c r="J25" s="28" t="s">
        <v>150</v>
      </c>
      <c r="K25" s="20">
        <v>240</v>
      </c>
      <c r="L25" s="9" t="s">
        <v>148</v>
      </c>
      <c r="M25" s="19">
        <v>45893</v>
      </c>
      <c r="N25" s="9" t="s">
        <v>143</v>
      </c>
      <c r="O25" s="12"/>
      <c r="P25" s="65">
        <f t="shared" si="7"/>
        <v>0</v>
      </c>
      <c r="Q25" s="65">
        <f t="shared" si="8"/>
        <v>5.0937607974044026</v>
      </c>
      <c r="R25" s="65">
        <f t="shared" si="9"/>
        <v>0</v>
      </c>
      <c r="S25" s="65">
        <f t="shared" si="10"/>
        <v>0</v>
      </c>
      <c r="T25" s="65">
        <f t="shared" si="11"/>
        <v>0</v>
      </c>
      <c r="U25" s="65">
        <f t="shared" si="12"/>
        <v>0</v>
      </c>
      <c r="V25" s="65">
        <f t="shared" si="13"/>
        <v>0</v>
      </c>
      <c r="W25" s="65">
        <f t="shared" si="14"/>
        <v>0</v>
      </c>
      <c r="X25" s="65">
        <f t="shared" si="15"/>
        <v>0</v>
      </c>
      <c r="Y25" s="65">
        <f t="shared" si="16"/>
        <v>0</v>
      </c>
      <c r="Z25" s="65">
        <f t="shared" si="17"/>
        <v>0</v>
      </c>
      <c r="AA25" s="65">
        <f t="shared" si="18"/>
        <v>0</v>
      </c>
      <c r="AB25" s="98"/>
      <c r="AE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O25" s="104"/>
      <c r="CP25" s="105"/>
    </row>
    <row r="26" spans="1:94" ht="27.95" customHeight="1" x14ac:dyDescent="0.3">
      <c r="A26" s="59"/>
      <c r="B26" s="8" t="s">
        <v>19</v>
      </c>
      <c r="C26" s="8" t="s">
        <v>20</v>
      </c>
      <c r="D26" s="8" t="s">
        <v>95</v>
      </c>
      <c r="E26" s="11">
        <v>3.1505366499999998</v>
      </c>
      <c r="F26" s="11">
        <f t="shared" si="6"/>
        <v>3.1505366499999998</v>
      </c>
      <c r="G26" s="206"/>
      <c r="H26" s="27" t="s">
        <v>141</v>
      </c>
      <c r="I26" s="19">
        <v>40852</v>
      </c>
      <c r="J26" s="28" t="s">
        <v>150</v>
      </c>
      <c r="K26" s="20">
        <v>252</v>
      </c>
      <c r="L26" s="9" t="s">
        <v>148</v>
      </c>
      <c r="M26" s="19">
        <v>48523</v>
      </c>
      <c r="N26" s="9" t="s">
        <v>143</v>
      </c>
      <c r="O26" s="12"/>
      <c r="P26" s="65">
        <f t="shared" si="7"/>
        <v>0</v>
      </c>
      <c r="Q26" s="65">
        <f t="shared" si="8"/>
        <v>0.55514561622850822</v>
      </c>
      <c r="R26" s="65">
        <f t="shared" si="9"/>
        <v>0</v>
      </c>
      <c r="S26" s="65">
        <f t="shared" si="10"/>
        <v>0.55150516503549085</v>
      </c>
      <c r="T26" s="65">
        <f t="shared" si="11"/>
        <v>0</v>
      </c>
      <c r="U26" s="65">
        <f t="shared" si="12"/>
        <v>0.51837349570806734</v>
      </c>
      <c r="V26" s="65">
        <f t="shared" si="13"/>
        <v>0</v>
      </c>
      <c r="W26" s="65">
        <f t="shared" si="14"/>
        <v>0.48652237927006287</v>
      </c>
      <c r="X26" s="65">
        <f t="shared" si="15"/>
        <v>0</v>
      </c>
      <c r="Y26" s="65">
        <f t="shared" si="16"/>
        <v>0.45623655086704545</v>
      </c>
      <c r="Z26" s="65">
        <f t="shared" si="17"/>
        <v>0</v>
      </c>
      <c r="AA26" s="65">
        <f t="shared" si="18"/>
        <v>0.56803440764537416</v>
      </c>
      <c r="AB26" s="98"/>
      <c r="AE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O26" s="104"/>
      <c r="CP26" s="105"/>
    </row>
    <row r="27" spans="1:94" ht="27.95" customHeight="1" x14ac:dyDescent="0.3">
      <c r="A27" s="59"/>
      <c r="B27" s="8" t="s">
        <v>25</v>
      </c>
      <c r="C27" s="8" t="s">
        <v>26</v>
      </c>
      <c r="D27" s="8" t="s">
        <v>95</v>
      </c>
      <c r="E27" s="11">
        <v>0.39898947000000001</v>
      </c>
      <c r="F27" s="11">
        <f t="shared" si="6"/>
        <v>0.39898947000000001</v>
      </c>
      <c r="G27" s="206"/>
      <c r="H27" s="27" t="s">
        <v>141</v>
      </c>
      <c r="I27" s="19">
        <v>40360</v>
      </c>
      <c r="J27" s="28" t="s">
        <v>150</v>
      </c>
      <c r="K27" s="20">
        <v>290</v>
      </c>
      <c r="L27" s="9" t="s">
        <v>147</v>
      </c>
      <c r="M27" s="19">
        <v>49188</v>
      </c>
      <c r="N27" s="9" t="s">
        <v>143</v>
      </c>
      <c r="O27" s="12"/>
      <c r="P27" s="65">
        <f t="shared" si="7"/>
        <v>0</v>
      </c>
      <c r="Q27" s="65">
        <f t="shared" si="8"/>
        <v>3.0962859307629324E-2</v>
      </c>
      <c r="R27" s="65">
        <f t="shared" si="9"/>
        <v>0</v>
      </c>
      <c r="S27" s="65">
        <f t="shared" si="10"/>
        <v>3.0962854633739899E-2</v>
      </c>
      <c r="T27" s="65">
        <f t="shared" si="11"/>
        <v>0</v>
      </c>
      <c r="U27" s="65">
        <f t="shared" si="12"/>
        <v>3.0962857458399686E-2</v>
      </c>
      <c r="V27" s="65">
        <f t="shared" si="13"/>
        <v>0</v>
      </c>
      <c r="W27" s="65">
        <f t="shared" si="14"/>
        <v>3.0962860895128431E-2</v>
      </c>
      <c r="X27" s="65">
        <f t="shared" si="15"/>
        <v>0</v>
      </c>
      <c r="Y27" s="65">
        <f t="shared" si="16"/>
        <v>3.0962857497001992E-2</v>
      </c>
      <c r="Z27" s="65">
        <f t="shared" si="17"/>
        <v>0</v>
      </c>
      <c r="AA27" s="65">
        <f t="shared" si="18"/>
        <v>0.21137187833475674</v>
      </c>
      <c r="AB27" s="98"/>
      <c r="AE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O27" s="104"/>
      <c r="CP27" s="105"/>
    </row>
    <row r="28" spans="1:94" ht="27.95" customHeight="1" x14ac:dyDescent="0.3">
      <c r="A28" s="59"/>
      <c r="B28" s="8" t="s">
        <v>27</v>
      </c>
      <c r="C28" s="8" t="s">
        <v>28</v>
      </c>
      <c r="D28" s="8" t="s">
        <v>95</v>
      </c>
      <c r="E28" s="11">
        <v>6.5215330000000002E-2</v>
      </c>
      <c r="F28" s="11">
        <f t="shared" si="6"/>
        <v>6.5215330000000002E-2</v>
      </c>
      <c r="G28" s="206"/>
      <c r="H28" s="27" t="s">
        <v>141</v>
      </c>
      <c r="I28" s="19">
        <v>40360</v>
      </c>
      <c r="J28" s="28" t="s">
        <v>150</v>
      </c>
      <c r="K28" s="20">
        <v>158</v>
      </c>
      <c r="L28" s="9" t="s">
        <v>147</v>
      </c>
      <c r="M28" s="19">
        <v>45170</v>
      </c>
      <c r="N28" s="9" t="s">
        <v>143</v>
      </c>
      <c r="O28" s="12"/>
      <c r="P28" s="65">
        <f t="shared" si="7"/>
        <v>0</v>
      </c>
      <c r="Q28" s="65">
        <f t="shared" si="8"/>
        <v>0</v>
      </c>
      <c r="R28" s="65">
        <f t="shared" si="9"/>
        <v>0</v>
      </c>
      <c r="S28" s="65">
        <f t="shared" si="10"/>
        <v>0</v>
      </c>
      <c r="T28" s="65">
        <f t="shared" si="11"/>
        <v>0</v>
      </c>
      <c r="U28" s="65">
        <f t="shared" si="12"/>
        <v>0</v>
      </c>
      <c r="V28" s="65">
        <f t="shared" si="13"/>
        <v>0</v>
      </c>
      <c r="W28" s="65">
        <f t="shared" si="14"/>
        <v>0</v>
      </c>
      <c r="X28" s="65">
        <f t="shared" si="15"/>
        <v>0</v>
      </c>
      <c r="Y28" s="65">
        <f t="shared" si="16"/>
        <v>0</v>
      </c>
      <c r="Z28" s="65">
        <f t="shared" si="17"/>
        <v>0</v>
      </c>
      <c r="AA28" s="65">
        <f t="shared" si="18"/>
        <v>0</v>
      </c>
      <c r="AB28" s="98"/>
      <c r="AE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O28" s="104"/>
      <c r="CP28" s="105"/>
    </row>
    <row r="29" spans="1:94" ht="27.95" customHeight="1" x14ac:dyDescent="0.3">
      <c r="A29" s="59"/>
      <c r="B29" s="167" t="s">
        <v>29</v>
      </c>
      <c r="C29" s="167"/>
      <c r="D29" s="167"/>
      <c r="E29" s="167"/>
      <c r="F29" s="168">
        <f>+SUM(F30:F32)</f>
        <v>31.166068960000004</v>
      </c>
      <c r="G29" s="167"/>
      <c r="H29" s="169"/>
      <c r="I29" s="167"/>
      <c r="J29" s="170"/>
      <c r="K29" s="167"/>
      <c r="L29" s="167"/>
      <c r="M29" s="167"/>
      <c r="N29" s="167"/>
      <c r="O29" s="23"/>
      <c r="P29" s="177">
        <f t="shared" ref="P29:AA29" si="19">+SUM(P30:P32)</f>
        <v>0</v>
      </c>
      <c r="Q29" s="177">
        <f t="shared" si="19"/>
        <v>3.8745878773910114</v>
      </c>
      <c r="R29" s="177">
        <f t="shared" si="19"/>
        <v>0</v>
      </c>
      <c r="S29" s="177">
        <f t="shared" si="19"/>
        <v>3.9636807047213622</v>
      </c>
      <c r="T29" s="177">
        <f t="shared" si="19"/>
        <v>0</v>
      </c>
      <c r="U29" s="177">
        <f t="shared" si="19"/>
        <v>3.7102587335453885</v>
      </c>
      <c r="V29" s="177">
        <f t="shared" si="19"/>
        <v>0</v>
      </c>
      <c r="W29" s="177">
        <f t="shared" si="19"/>
        <v>3.5729573571336086</v>
      </c>
      <c r="X29" s="177">
        <f t="shared" si="19"/>
        <v>0</v>
      </c>
      <c r="Y29" s="177">
        <f t="shared" si="19"/>
        <v>3.4504248010364722</v>
      </c>
      <c r="Z29" s="177">
        <f t="shared" si="19"/>
        <v>0</v>
      </c>
      <c r="AA29" s="177">
        <f t="shared" si="19"/>
        <v>2.4814802715346298</v>
      </c>
      <c r="AB29" s="99"/>
      <c r="AE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O29" s="104"/>
      <c r="CP29" s="105"/>
    </row>
    <row r="30" spans="1:94" ht="27.95" customHeight="1" x14ac:dyDescent="0.3">
      <c r="A30" s="59"/>
      <c r="B30" s="8" t="s">
        <v>30</v>
      </c>
      <c r="C30" s="8" t="s">
        <v>31</v>
      </c>
      <c r="D30" s="8" t="s">
        <v>95</v>
      </c>
      <c r="E30" s="11">
        <v>24.09152899</v>
      </c>
      <c r="F30" s="11">
        <f>+IF($D30="USD",$E30,$E30/$C$50)</f>
        <v>24.09152899</v>
      </c>
      <c r="G30" s="204"/>
      <c r="H30" s="27" t="s">
        <v>141</v>
      </c>
      <c r="I30" s="19">
        <v>39706</v>
      </c>
      <c r="J30" s="28" t="s">
        <v>150</v>
      </c>
      <c r="K30" s="20">
        <v>360</v>
      </c>
      <c r="L30" s="9" t="s">
        <v>148</v>
      </c>
      <c r="M30" s="19">
        <v>50663</v>
      </c>
      <c r="N30" s="9" t="s">
        <v>143</v>
      </c>
      <c r="O30" s="12"/>
      <c r="P30" s="65">
        <f t="shared" ref="P30:AA32" si="20">+F81+F125</f>
        <v>0</v>
      </c>
      <c r="Q30" s="65">
        <f t="shared" si="20"/>
        <v>2.9761700077832622</v>
      </c>
      <c r="R30" s="65">
        <f t="shared" si="20"/>
        <v>0</v>
      </c>
      <c r="S30" s="65">
        <f t="shared" si="20"/>
        <v>3.0906142549661535</v>
      </c>
      <c r="T30" s="65">
        <f t="shared" si="20"/>
        <v>0</v>
      </c>
      <c r="U30" s="65">
        <f t="shared" si="20"/>
        <v>2.8960743122323951</v>
      </c>
      <c r="V30" s="65">
        <f t="shared" si="20"/>
        <v>0</v>
      </c>
      <c r="W30" s="65">
        <f t="shared" si="20"/>
        <v>2.7922164794095616</v>
      </c>
      <c r="X30" s="65">
        <f t="shared" si="20"/>
        <v>0</v>
      </c>
      <c r="Y30" s="65">
        <f t="shared" si="20"/>
        <v>2.6959074555194471</v>
      </c>
      <c r="Z30" s="65">
        <f t="shared" si="20"/>
        <v>0</v>
      </c>
      <c r="AA30" s="65">
        <f t="shared" si="20"/>
        <v>0</v>
      </c>
      <c r="AB30" s="98"/>
      <c r="AE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O30" s="104"/>
      <c r="CP30" s="105"/>
    </row>
    <row r="31" spans="1:94" ht="27.95" customHeight="1" x14ac:dyDescent="0.3">
      <c r="A31" s="59"/>
      <c r="B31" s="8" t="s">
        <v>255</v>
      </c>
      <c r="C31" s="8" t="s">
        <v>161</v>
      </c>
      <c r="D31" s="8" t="s">
        <v>95</v>
      </c>
      <c r="E31" s="11">
        <v>4.8012928400000003</v>
      </c>
      <c r="F31" s="11">
        <f>+IF($D31="USD",$E31,$E31/$C$50)</f>
        <v>4.8012928400000003</v>
      </c>
      <c r="G31" s="204"/>
      <c r="H31" s="27" t="s">
        <v>141</v>
      </c>
      <c r="I31" s="157">
        <v>43918</v>
      </c>
      <c r="J31" s="28" t="s">
        <v>151</v>
      </c>
      <c r="K31" s="20">
        <v>180</v>
      </c>
      <c r="L31" s="9" t="s">
        <v>148</v>
      </c>
      <c r="M31" s="157">
        <v>49396</v>
      </c>
      <c r="N31" s="9" t="s">
        <v>143</v>
      </c>
      <c r="O31" s="12"/>
      <c r="P31" s="214">
        <f t="shared" si="20"/>
        <v>0</v>
      </c>
      <c r="Q31" s="214">
        <f t="shared" si="20"/>
        <v>0.7194341696077492</v>
      </c>
      <c r="R31" s="214">
        <f t="shared" si="20"/>
        <v>0</v>
      </c>
      <c r="S31" s="214">
        <f t="shared" si="20"/>
        <v>0.65098493684111447</v>
      </c>
      <c r="T31" s="214">
        <f t="shared" si="20"/>
        <v>0</v>
      </c>
      <c r="U31" s="214">
        <f t="shared" si="20"/>
        <v>0.60785777839889887</v>
      </c>
      <c r="V31" s="214">
        <f t="shared" si="20"/>
        <v>0</v>
      </c>
      <c r="W31" s="214">
        <f t="shared" si="20"/>
        <v>0.58118496480995252</v>
      </c>
      <c r="X31" s="214">
        <f t="shared" si="20"/>
        <v>0</v>
      </c>
      <c r="Y31" s="214">
        <f t="shared" si="20"/>
        <v>0.56003478260293049</v>
      </c>
      <c r="Z31" s="214">
        <f t="shared" si="20"/>
        <v>0</v>
      </c>
      <c r="AA31" s="214">
        <f t="shared" si="20"/>
        <v>2.3223074806265638</v>
      </c>
      <c r="AB31" s="98"/>
      <c r="AE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O31" s="104"/>
      <c r="CP31" s="105"/>
    </row>
    <row r="32" spans="1:94" ht="27.95" customHeight="1" x14ac:dyDescent="0.3">
      <c r="A32" s="59"/>
      <c r="B32" s="8" t="s">
        <v>139</v>
      </c>
      <c r="C32" s="8" t="s">
        <v>140</v>
      </c>
      <c r="D32" s="8" t="s">
        <v>95</v>
      </c>
      <c r="E32" s="11">
        <v>2.2732471300000001</v>
      </c>
      <c r="F32" s="11">
        <f>+IF($D32="USD",$E32,$E32/$C$50)</f>
        <v>2.2732471300000001</v>
      </c>
      <c r="G32" s="204"/>
      <c r="H32" s="27" t="s">
        <v>141</v>
      </c>
      <c r="I32" s="19">
        <v>44837</v>
      </c>
      <c r="J32" s="28" t="s">
        <v>151</v>
      </c>
      <c r="K32" s="20">
        <v>327</v>
      </c>
      <c r="L32" s="9" t="s">
        <v>148</v>
      </c>
      <c r="M32" s="19">
        <v>54803</v>
      </c>
      <c r="N32" s="9" t="s">
        <v>143</v>
      </c>
      <c r="O32" s="12"/>
      <c r="P32" s="65">
        <f t="shared" si="20"/>
        <v>0</v>
      </c>
      <c r="Q32" s="65">
        <f t="shared" si="20"/>
        <v>0.17898370000000002</v>
      </c>
      <c r="R32" s="65">
        <f t="shared" si="20"/>
        <v>0</v>
      </c>
      <c r="S32" s="65">
        <f t="shared" si="20"/>
        <v>0.22208151291409453</v>
      </c>
      <c r="T32" s="65">
        <f t="shared" si="20"/>
        <v>0</v>
      </c>
      <c r="U32" s="65">
        <f t="shared" si="20"/>
        <v>0.20632664291409453</v>
      </c>
      <c r="V32" s="65">
        <f t="shared" si="20"/>
        <v>0</v>
      </c>
      <c r="W32" s="65">
        <f t="shared" si="20"/>
        <v>0.19955591291409452</v>
      </c>
      <c r="X32" s="65">
        <f t="shared" si="20"/>
        <v>0</v>
      </c>
      <c r="Y32" s="65">
        <f t="shared" si="20"/>
        <v>0.19448256291409455</v>
      </c>
      <c r="Z32" s="65">
        <f t="shared" si="20"/>
        <v>0</v>
      </c>
      <c r="AA32" s="65">
        <f t="shared" si="20"/>
        <v>0.15917279090806596</v>
      </c>
      <c r="AB32" s="98"/>
      <c r="AE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O32" s="104"/>
      <c r="CP32" s="105"/>
    </row>
    <row r="33" spans="1:96" ht="27.95" customHeight="1" x14ac:dyDescent="0.3">
      <c r="A33" s="59"/>
      <c r="B33" s="162" t="s">
        <v>89</v>
      </c>
      <c r="C33" s="162"/>
      <c r="D33" s="162"/>
      <c r="E33" s="162"/>
      <c r="F33" s="163">
        <f>+SUM(F34:F42)</f>
        <v>431.21020894052725</v>
      </c>
      <c r="G33" s="164">
        <f>+F33/$F$44</f>
        <v>0.67593538011888443</v>
      </c>
      <c r="H33" s="165"/>
      <c r="I33" s="162"/>
      <c r="J33" s="166"/>
      <c r="K33" s="162"/>
      <c r="L33" s="162"/>
      <c r="M33" s="162"/>
      <c r="N33" s="162"/>
      <c r="O33" s="22"/>
      <c r="P33" s="175">
        <f t="shared" ref="P33:AA33" si="21">+SUM(P34:P42)</f>
        <v>55131.617307206274</v>
      </c>
      <c r="Q33" s="175">
        <f t="shared" si="21"/>
        <v>99.171135674615385</v>
      </c>
      <c r="R33" s="175">
        <f t="shared" si="21"/>
        <v>82446.90262438143</v>
      </c>
      <c r="S33" s="175">
        <f t="shared" si="21"/>
        <v>94.58864221153847</v>
      </c>
      <c r="T33" s="175">
        <f t="shared" si="21"/>
        <v>7974.9672007441386</v>
      </c>
      <c r="U33" s="175">
        <f t="shared" si="21"/>
        <v>90.006148750000008</v>
      </c>
      <c r="V33" s="175">
        <f t="shared" si="21"/>
        <v>925.39538433960297</v>
      </c>
      <c r="W33" s="175">
        <f t="shared" si="21"/>
        <v>85.423655288461546</v>
      </c>
      <c r="X33" s="175">
        <f t="shared" si="21"/>
        <v>887.71092061823651</v>
      </c>
      <c r="Y33" s="175">
        <f t="shared" si="21"/>
        <v>40.993392596153853</v>
      </c>
      <c r="Z33" s="175">
        <f t="shared" si="21"/>
        <v>0</v>
      </c>
      <c r="AA33" s="175">
        <f t="shared" si="21"/>
        <v>0</v>
      </c>
      <c r="AB33" s="103"/>
      <c r="AE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c r="BP33" s="103"/>
      <c r="BQ33" s="103"/>
      <c r="BR33" s="103"/>
      <c r="BS33" s="103"/>
      <c r="BT33" s="103"/>
      <c r="BU33" s="103"/>
      <c r="BV33" s="103"/>
      <c r="BW33" s="103"/>
      <c r="BX33" s="103"/>
      <c r="BY33" s="103"/>
      <c r="BZ33" s="103"/>
      <c r="CA33" s="103"/>
      <c r="CB33" s="103"/>
    </row>
    <row r="34" spans="1:96" ht="27.95" customHeight="1" x14ac:dyDescent="0.3">
      <c r="A34" s="59"/>
      <c r="B34" s="8" t="s">
        <v>231</v>
      </c>
      <c r="C34" s="8" t="s">
        <v>119</v>
      </c>
      <c r="D34" s="8" t="s">
        <v>95</v>
      </c>
      <c r="E34" s="11">
        <v>318.78215384999999</v>
      </c>
      <c r="F34" s="11">
        <f t="shared" ref="F34:F42" si="22">+IF($D34="USD",$E34,$E34/$C$50)</f>
        <v>318.78215384999999</v>
      </c>
      <c r="G34" s="208"/>
      <c r="H34" s="27" t="s">
        <v>152</v>
      </c>
      <c r="I34" s="19">
        <v>43970</v>
      </c>
      <c r="J34" s="28">
        <v>5.7500000000000002E-2</v>
      </c>
      <c r="K34" s="20">
        <v>106</v>
      </c>
      <c r="L34" s="9" t="s">
        <v>148</v>
      </c>
      <c r="M34" s="19">
        <v>47196</v>
      </c>
      <c r="N34" s="9" t="s">
        <v>128</v>
      </c>
      <c r="O34" s="12"/>
      <c r="P34" s="65">
        <f t="shared" ref="P34:AA34" si="23">+F85+F129</f>
        <v>0</v>
      </c>
      <c r="Q34" s="65">
        <f t="shared" si="23"/>
        <v>99.171135674615385</v>
      </c>
      <c r="R34" s="65">
        <f t="shared" si="23"/>
        <v>0</v>
      </c>
      <c r="S34" s="65">
        <f t="shared" si="23"/>
        <v>94.58864221153847</v>
      </c>
      <c r="T34" s="65">
        <f t="shared" si="23"/>
        <v>0</v>
      </c>
      <c r="U34" s="65">
        <f t="shared" si="23"/>
        <v>90.006148750000008</v>
      </c>
      <c r="V34" s="65">
        <f t="shared" si="23"/>
        <v>0</v>
      </c>
      <c r="W34" s="65">
        <f t="shared" si="23"/>
        <v>85.423655288461546</v>
      </c>
      <c r="X34" s="65">
        <f t="shared" si="23"/>
        <v>0</v>
      </c>
      <c r="Y34" s="65">
        <f t="shared" si="23"/>
        <v>40.993392596153853</v>
      </c>
      <c r="Z34" s="65">
        <f t="shared" si="23"/>
        <v>0</v>
      </c>
      <c r="AA34" s="65">
        <f t="shared" si="23"/>
        <v>0</v>
      </c>
      <c r="AB34" s="98"/>
      <c r="AE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O34" s="104"/>
      <c r="CP34" s="105"/>
    </row>
    <row r="35" spans="1:96" ht="27.95" customHeight="1" x14ac:dyDescent="0.3">
      <c r="A35" s="59"/>
      <c r="B35" s="8" t="s">
        <v>250</v>
      </c>
      <c r="C35" s="8" t="s">
        <v>261</v>
      </c>
      <c r="D35" s="8" t="s">
        <v>2</v>
      </c>
      <c r="E35" s="197">
        <v>32952.029000000002</v>
      </c>
      <c r="F35" s="11">
        <f t="shared" si="22"/>
        <v>30.685162612035853</v>
      </c>
      <c r="G35" s="208"/>
      <c r="H35" s="27" t="s">
        <v>141</v>
      </c>
      <c r="I35" s="157">
        <v>45736</v>
      </c>
      <c r="J35" s="28" t="s">
        <v>252</v>
      </c>
      <c r="K35" s="20">
        <v>15</v>
      </c>
      <c r="L35" s="9" t="s">
        <v>147</v>
      </c>
      <c r="M35" s="157">
        <v>46193</v>
      </c>
      <c r="N35" s="9" t="s">
        <v>128</v>
      </c>
      <c r="O35" s="274"/>
      <c r="P35" s="65">
        <f t="shared" ref="P35:P36" si="24">+F86+F130</f>
        <v>7696.9901997700008</v>
      </c>
      <c r="Q35" s="65">
        <f t="shared" ref="Q35:AA35" si="25">+G86+G130</f>
        <v>0</v>
      </c>
      <c r="R35" s="65">
        <f t="shared" si="25"/>
        <v>37353.676489229998</v>
      </c>
      <c r="S35" s="65">
        <f t="shared" si="25"/>
        <v>0</v>
      </c>
      <c r="T35" s="65">
        <f t="shared" si="25"/>
        <v>0</v>
      </c>
      <c r="U35" s="65">
        <f t="shared" si="25"/>
        <v>0</v>
      </c>
      <c r="V35" s="65">
        <f t="shared" si="25"/>
        <v>0</v>
      </c>
      <c r="W35" s="65">
        <f t="shared" si="25"/>
        <v>0</v>
      </c>
      <c r="X35" s="65">
        <f t="shared" si="25"/>
        <v>0</v>
      </c>
      <c r="Y35" s="65">
        <f t="shared" si="25"/>
        <v>0</v>
      </c>
      <c r="Z35" s="65">
        <f t="shared" si="25"/>
        <v>0</v>
      </c>
      <c r="AA35" s="65">
        <f t="shared" si="25"/>
        <v>0</v>
      </c>
      <c r="AB35" s="98"/>
      <c r="AE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O35" s="104"/>
      <c r="CP35" s="105"/>
    </row>
    <row r="36" spans="1:96" ht="27.95" customHeight="1" x14ac:dyDescent="0.3">
      <c r="A36" s="59"/>
      <c r="B36" s="8" t="s">
        <v>251</v>
      </c>
      <c r="C36" s="8" t="s">
        <v>262</v>
      </c>
      <c r="D36" s="8" t="s">
        <v>2</v>
      </c>
      <c r="E36" s="197">
        <v>23820</v>
      </c>
      <c r="F36" s="11">
        <f t="shared" si="22"/>
        <v>22.181352578279594</v>
      </c>
      <c r="G36" s="208"/>
      <c r="H36" s="27" t="s">
        <v>141</v>
      </c>
      <c r="I36" s="157">
        <v>45736</v>
      </c>
      <c r="J36" s="28" t="s">
        <v>253</v>
      </c>
      <c r="K36" s="20">
        <v>21</v>
      </c>
      <c r="L36" s="9" t="s">
        <v>147</v>
      </c>
      <c r="M36" s="157">
        <v>46376</v>
      </c>
      <c r="N36" s="9" t="s">
        <v>128</v>
      </c>
      <c r="O36" s="275"/>
      <c r="P36" s="65">
        <f t="shared" si="24"/>
        <v>5698.5148651100008</v>
      </c>
      <c r="Q36" s="65">
        <f t="shared" ref="Q36:AA36" si="26">+G87+G131</f>
        <v>0</v>
      </c>
      <c r="R36" s="65">
        <f t="shared" si="26"/>
        <v>29821.251380379999</v>
      </c>
      <c r="S36" s="65">
        <f t="shared" si="26"/>
        <v>0</v>
      </c>
      <c r="T36" s="65">
        <f t="shared" si="26"/>
        <v>0</v>
      </c>
      <c r="U36" s="65">
        <f t="shared" si="26"/>
        <v>0</v>
      </c>
      <c r="V36" s="65">
        <f t="shared" si="26"/>
        <v>0</v>
      </c>
      <c r="W36" s="65">
        <f t="shared" si="26"/>
        <v>0</v>
      </c>
      <c r="X36" s="65">
        <f t="shared" si="26"/>
        <v>0</v>
      </c>
      <c r="Y36" s="65">
        <f t="shared" si="26"/>
        <v>0</v>
      </c>
      <c r="Z36" s="65">
        <f t="shared" si="26"/>
        <v>0</v>
      </c>
      <c r="AA36" s="65">
        <f t="shared" si="26"/>
        <v>0</v>
      </c>
      <c r="AB36" s="98"/>
      <c r="AE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O36" s="104"/>
      <c r="CP36" s="105"/>
    </row>
    <row r="37" spans="1:96" ht="27.95" customHeight="1" x14ac:dyDescent="0.3">
      <c r="A37" s="59"/>
      <c r="B37" s="8" t="s">
        <v>223</v>
      </c>
      <c r="C37" s="8" t="s">
        <v>225</v>
      </c>
      <c r="D37" s="8" t="s">
        <v>227</v>
      </c>
      <c r="E37" s="197">
        <v>37314.775999999998</v>
      </c>
      <c r="F37" s="11">
        <f t="shared" si="22"/>
        <v>34.747783494354557</v>
      </c>
      <c r="G37" s="208"/>
      <c r="H37" s="27" t="s">
        <v>141</v>
      </c>
      <c r="I37" s="157">
        <v>45363</v>
      </c>
      <c r="J37" s="28" t="s">
        <v>228</v>
      </c>
      <c r="K37" s="20">
        <v>21</v>
      </c>
      <c r="L37" s="9" t="s">
        <v>229</v>
      </c>
      <c r="M37" s="157">
        <v>46003</v>
      </c>
      <c r="N37" s="9" t="s">
        <v>128</v>
      </c>
      <c r="O37" s="12"/>
      <c r="P37" s="65">
        <f t="shared" ref="P37:AA42" si="27">+F88+F132</f>
        <v>37314.775999999998</v>
      </c>
      <c r="Q37" s="65">
        <f t="shared" si="27"/>
        <v>0</v>
      </c>
      <c r="R37" s="65">
        <f t="shared" si="27"/>
        <v>0</v>
      </c>
      <c r="S37" s="65">
        <f t="shared" si="27"/>
        <v>0</v>
      </c>
      <c r="T37" s="65">
        <f t="shared" si="27"/>
        <v>0</v>
      </c>
      <c r="U37" s="65">
        <f t="shared" si="27"/>
        <v>0</v>
      </c>
      <c r="V37" s="65">
        <f t="shared" si="27"/>
        <v>0</v>
      </c>
      <c r="W37" s="65">
        <f t="shared" si="27"/>
        <v>0</v>
      </c>
      <c r="X37" s="65">
        <f t="shared" si="27"/>
        <v>0</v>
      </c>
      <c r="Y37" s="65">
        <f t="shared" si="27"/>
        <v>0</v>
      </c>
      <c r="Z37" s="65">
        <f t="shared" si="27"/>
        <v>0</v>
      </c>
      <c r="AA37" s="65">
        <f t="shared" si="27"/>
        <v>0</v>
      </c>
      <c r="AB37" s="98"/>
      <c r="AE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row>
    <row r="38" spans="1:96" ht="27.95" customHeight="1" x14ac:dyDescent="0.3">
      <c r="A38" s="59"/>
      <c r="B38" s="8" t="s">
        <v>224</v>
      </c>
      <c r="C38" s="8" t="s">
        <v>226</v>
      </c>
      <c r="D38" s="8" t="s">
        <v>227</v>
      </c>
      <c r="E38" s="197">
        <v>20554.007399999999</v>
      </c>
      <c r="F38" s="11">
        <f t="shared" si="22"/>
        <v>19.140037155162378</v>
      </c>
      <c r="G38" s="208"/>
      <c r="H38" s="27" t="s">
        <v>141</v>
      </c>
      <c r="I38" s="157">
        <v>45363</v>
      </c>
      <c r="J38" s="28" t="s">
        <v>228</v>
      </c>
      <c r="K38" s="20">
        <v>36</v>
      </c>
      <c r="L38" s="9" t="s">
        <v>229</v>
      </c>
      <c r="M38" s="157">
        <v>46458</v>
      </c>
      <c r="N38" s="9" t="s">
        <v>128</v>
      </c>
      <c r="O38" s="12"/>
      <c r="P38" s="65">
        <f t="shared" si="27"/>
        <v>0</v>
      </c>
      <c r="Q38" s="65">
        <f t="shared" si="27"/>
        <v>0</v>
      </c>
      <c r="R38" s="65">
        <f t="shared" si="27"/>
        <v>13701.301332839999</v>
      </c>
      <c r="S38" s="65">
        <f t="shared" si="27"/>
        <v>0</v>
      </c>
      <c r="T38" s="65">
        <f t="shared" si="27"/>
        <v>6852.7060671600002</v>
      </c>
      <c r="U38" s="65">
        <f t="shared" si="27"/>
        <v>0</v>
      </c>
      <c r="V38" s="65">
        <f t="shared" si="27"/>
        <v>0</v>
      </c>
      <c r="W38" s="65">
        <f t="shared" si="27"/>
        <v>0</v>
      </c>
      <c r="X38" s="65">
        <f t="shared" si="27"/>
        <v>0</v>
      </c>
      <c r="Y38" s="65">
        <f t="shared" si="27"/>
        <v>0</v>
      </c>
      <c r="Z38" s="65">
        <f t="shared" si="27"/>
        <v>0</v>
      </c>
      <c r="AA38" s="65">
        <f t="shared" si="27"/>
        <v>0</v>
      </c>
      <c r="AB38" s="98"/>
      <c r="AE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row>
    <row r="39" spans="1:96" ht="27.95" customHeight="1" x14ac:dyDescent="0.3">
      <c r="A39" s="59"/>
      <c r="B39" s="8" t="s">
        <v>129</v>
      </c>
      <c r="C39" s="8" t="s">
        <v>130</v>
      </c>
      <c r="D39" s="8" t="s">
        <v>2</v>
      </c>
      <c r="E39" s="197">
        <v>4878.6538609999998</v>
      </c>
      <c r="F39" s="11">
        <f t="shared" si="22"/>
        <v>4.543037002444418</v>
      </c>
      <c r="G39" s="208"/>
      <c r="H39" s="27" t="s">
        <v>141</v>
      </c>
      <c r="I39" s="19">
        <v>44635</v>
      </c>
      <c r="J39" s="28" t="s">
        <v>153</v>
      </c>
      <c r="K39" s="20">
        <v>108</v>
      </c>
      <c r="L39" s="9" t="s">
        <v>147</v>
      </c>
      <c r="M39" s="19">
        <v>47922</v>
      </c>
      <c r="N39" s="9" t="s">
        <v>128</v>
      </c>
      <c r="O39" s="12"/>
      <c r="P39" s="65">
        <f t="shared" si="27"/>
        <v>1671.1403721758686</v>
      </c>
      <c r="Q39" s="65">
        <f t="shared" si="27"/>
        <v>0</v>
      </c>
      <c r="R39" s="65">
        <f t="shared" si="27"/>
        <v>1570.6734219314405</v>
      </c>
      <c r="S39" s="65">
        <f t="shared" si="27"/>
        <v>0</v>
      </c>
      <c r="T39" s="65">
        <f t="shared" si="27"/>
        <v>1122.2611335841382</v>
      </c>
      <c r="U39" s="65">
        <f t="shared" si="27"/>
        <v>0</v>
      </c>
      <c r="V39" s="65">
        <f t="shared" si="27"/>
        <v>925.39538433960297</v>
      </c>
      <c r="W39" s="65">
        <f t="shared" si="27"/>
        <v>0</v>
      </c>
      <c r="X39" s="65">
        <f t="shared" si="27"/>
        <v>887.71092061823651</v>
      </c>
      <c r="Y39" s="65">
        <f t="shared" si="27"/>
        <v>0</v>
      </c>
      <c r="Z39" s="65">
        <f t="shared" si="27"/>
        <v>0</v>
      </c>
      <c r="AA39" s="65">
        <f t="shared" si="27"/>
        <v>0</v>
      </c>
      <c r="AB39" s="98"/>
      <c r="AE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row>
    <row r="40" spans="1:96" ht="27.95" customHeight="1" x14ac:dyDescent="0.3">
      <c r="A40" s="59"/>
      <c r="B40" s="8" t="s">
        <v>157</v>
      </c>
      <c r="C40" s="8" t="s">
        <v>158</v>
      </c>
      <c r="D40" s="8" t="s">
        <v>2</v>
      </c>
      <c r="E40" s="197">
        <v>1008.75</v>
      </c>
      <c r="F40" s="11">
        <f t="shared" si="22"/>
        <v>0.9393551390990571</v>
      </c>
      <c r="G40" s="208"/>
      <c r="H40" s="27" t="s">
        <v>141</v>
      </c>
      <c r="I40" s="19">
        <v>45098</v>
      </c>
      <c r="J40" s="28" t="s">
        <v>159</v>
      </c>
      <c r="K40" s="20">
        <v>24</v>
      </c>
      <c r="L40" s="9" t="s">
        <v>147</v>
      </c>
      <c r="M40" s="19">
        <v>45829</v>
      </c>
      <c r="N40" s="9" t="s">
        <v>128</v>
      </c>
      <c r="O40" s="12"/>
      <c r="P40" s="65">
        <f t="shared" si="27"/>
        <v>2283.1238938500001</v>
      </c>
      <c r="Q40" s="65">
        <f t="shared" si="27"/>
        <v>0</v>
      </c>
      <c r="R40" s="65">
        <f t="shared" si="27"/>
        <v>0</v>
      </c>
      <c r="S40" s="65">
        <f t="shared" si="27"/>
        <v>0</v>
      </c>
      <c r="T40" s="65">
        <f t="shared" si="27"/>
        <v>0</v>
      </c>
      <c r="U40" s="65">
        <f t="shared" si="27"/>
        <v>0</v>
      </c>
      <c r="V40" s="65">
        <f t="shared" si="27"/>
        <v>0</v>
      </c>
      <c r="W40" s="65">
        <f t="shared" si="27"/>
        <v>0</v>
      </c>
      <c r="X40" s="65">
        <f t="shared" si="27"/>
        <v>0</v>
      </c>
      <c r="Y40" s="65">
        <f t="shared" si="27"/>
        <v>0</v>
      </c>
      <c r="Z40" s="65">
        <f t="shared" si="27"/>
        <v>0</v>
      </c>
      <c r="AA40" s="65">
        <f t="shared" si="27"/>
        <v>0</v>
      </c>
      <c r="AB40" s="98"/>
      <c r="AE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row>
    <row r="41" spans="1:96" ht="27.95" customHeight="1" x14ac:dyDescent="0.3">
      <c r="A41" s="59"/>
      <c r="B41" s="8" t="s">
        <v>124</v>
      </c>
      <c r="C41" s="8" t="s">
        <v>125</v>
      </c>
      <c r="D41" s="8" t="s">
        <v>2</v>
      </c>
      <c r="E41" s="197">
        <v>201.92307692</v>
      </c>
      <c r="F41" s="11">
        <f t="shared" si="22"/>
        <v>0.18803219827261086</v>
      </c>
      <c r="G41" s="208"/>
      <c r="H41" s="27" t="s">
        <v>141</v>
      </c>
      <c r="I41" s="19">
        <v>44385</v>
      </c>
      <c r="J41" s="28" t="s">
        <v>154</v>
      </c>
      <c r="K41" s="20">
        <v>48</v>
      </c>
      <c r="L41" s="9" t="s">
        <v>147</v>
      </c>
      <c r="M41" s="19">
        <v>45805</v>
      </c>
      <c r="N41" s="9" t="s">
        <v>128</v>
      </c>
      <c r="O41" s="12"/>
      <c r="P41" s="65">
        <f t="shared" si="27"/>
        <v>458.1418059799791</v>
      </c>
      <c r="Q41" s="65">
        <f t="shared" si="27"/>
        <v>0</v>
      </c>
      <c r="R41" s="65">
        <f t="shared" si="27"/>
        <v>0</v>
      </c>
      <c r="S41" s="65">
        <f t="shared" si="27"/>
        <v>0</v>
      </c>
      <c r="T41" s="65">
        <f t="shared" si="27"/>
        <v>0</v>
      </c>
      <c r="U41" s="65">
        <f t="shared" si="27"/>
        <v>0</v>
      </c>
      <c r="V41" s="65">
        <f t="shared" si="27"/>
        <v>0</v>
      </c>
      <c r="W41" s="65">
        <f t="shared" si="27"/>
        <v>0</v>
      </c>
      <c r="X41" s="65">
        <f t="shared" si="27"/>
        <v>0</v>
      </c>
      <c r="Y41" s="65">
        <f t="shared" si="27"/>
        <v>0</v>
      </c>
      <c r="Z41" s="65">
        <f t="shared" si="27"/>
        <v>0</v>
      </c>
      <c r="AA41" s="65">
        <f t="shared" si="27"/>
        <v>0</v>
      </c>
      <c r="AB41" s="98"/>
      <c r="AE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row>
    <row r="42" spans="1:96" ht="27.95" customHeight="1" x14ac:dyDescent="0.3">
      <c r="A42" s="59"/>
      <c r="B42" s="8" t="s">
        <v>32</v>
      </c>
      <c r="C42" s="8" t="s">
        <v>33</v>
      </c>
      <c r="D42" s="8" t="s">
        <v>2</v>
      </c>
      <c r="E42" s="197">
        <v>3.5383224200000001</v>
      </c>
      <c r="F42" s="11">
        <f t="shared" si="22"/>
        <v>3.2949108788266793E-3</v>
      </c>
      <c r="G42" s="208"/>
      <c r="H42" s="27" t="s">
        <v>141</v>
      </c>
      <c r="I42" s="19">
        <v>43494</v>
      </c>
      <c r="J42" s="28" t="s">
        <v>155</v>
      </c>
      <c r="K42" s="20">
        <v>84</v>
      </c>
      <c r="L42" s="9" t="s">
        <v>148</v>
      </c>
      <c r="M42" s="19">
        <v>45870</v>
      </c>
      <c r="N42" s="9" t="s">
        <v>128</v>
      </c>
      <c r="O42" s="12"/>
      <c r="P42" s="65">
        <f t="shared" si="27"/>
        <v>8.9301703204245211</v>
      </c>
      <c r="Q42" s="65">
        <f t="shared" si="27"/>
        <v>0</v>
      </c>
      <c r="R42" s="65">
        <f t="shared" si="27"/>
        <v>0</v>
      </c>
      <c r="S42" s="65">
        <f t="shared" si="27"/>
        <v>0</v>
      </c>
      <c r="T42" s="65">
        <f t="shared" si="27"/>
        <v>0</v>
      </c>
      <c r="U42" s="65">
        <f t="shared" si="27"/>
        <v>0</v>
      </c>
      <c r="V42" s="65">
        <f t="shared" si="27"/>
        <v>0</v>
      </c>
      <c r="W42" s="65">
        <f t="shared" si="27"/>
        <v>0</v>
      </c>
      <c r="X42" s="65">
        <f t="shared" si="27"/>
        <v>0</v>
      </c>
      <c r="Y42" s="65">
        <f t="shared" si="27"/>
        <v>0</v>
      </c>
      <c r="Z42" s="65">
        <f t="shared" si="27"/>
        <v>0</v>
      </c>
      <c r="AA42" s="65">
        <f t="shared" si="27"/>
        <v>0</v>
      </c>
      <c r="AB42" s="98"/>
      <c r="AE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row>
    <row r="43" spans="1:96" ht="6.75" customHeight="1" x14ac:dyDescent="0.3">
      <c r="A43" s="59"/>
      <c r="B43" s="14"/>
      <c r="C43" s="12"/>
      <c r="D43" s="12"/>
      <c r="E43" s="12"/>
      <c r="F43" s="132"/>
      <c r="G43" s="12"/>
      <c r="H43" s="12"/>
      <c r="I43" s="12"/>
      <c r="J43" s="12"/>
      <c r="K43" s="12"/>
      <c r="L43" s="12"/>
      <c r="M43" s="12"/>
      <c r="N43" s="12"/>
      <c r="O43" s="12"/>
      <c r="P43" s="66"/>
      <c r="Q43" s="66"/>
      <c r="R43" s="66"/>
      <c r="S43" s="66"/>
      <c r="T43" s="67"/>
      <c r="U43" s="67"/>
      <c r="V43" s="67"/>
      <c r="W43" s="67"/>
      <c r="X43" s="67"/>
      <c r="Y43" s="67"/>
      <c r="Z43" s="67"/>
      <c r="AA43" s="67"/>
      <c r="AB43" s="67"/>
      <c r="AE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row>
    <row r="44" spans="1:96" ht="29.25" customHeight="1" x14ac:dyDescent="0.3">
      <c r="B44" s="290" t="s">
        <v>46</v>
      </c>
      <c r="C44" s="291"/>
      <c r="D44" s="291"/>
      <c r="E44" s="90"/>
      <c r="F44" s="25">
        <f>+SUM($F$9,$F$14,$F$17,$F$33)</f>
        <v>637.94590669996501</v>
      </c>
      <c r="G44" s="285"/>
      <c r="H44" s="26"/>
      <c r="I44" s="24"/>
      <c r="J44" s="24"/>
      <c r="K44" s="24"/>
      <c r="L44" s="24"/>
      <c r="M44" s="24"/>
      <c r="N44" s="24"/>
      <c r="O44" s="24"/>
      <c r="P44" s="176">
        <f t="shared" ref="P44:AA44" si="28">+P33+P17+P14+P9</f>
        <v>70628.112626046117</v>
      </c>
      <c r="Q44" s="176">
        <f t="shared" si="28"/>
        <v>129.23331412624663</v>
      </c>
      <c r="R44" s="176">
        <f t="shared" si="28"/>
        <v>100781.22347882173</v>
      </c>
      <c r="S44" s="176">
        <f t="shared" si="28"/>
        <v>117.491488189704</v>
      </c>
      <c r="T44" s="176">
        <f t="shared" si="28"/>
        <v>19121.253800239192</v>
      </c>
      <c r="U44" s="176">
        <f t="shared" si="28"/>
        <v>111.47422789990381</v>
      </c>
      <c r="V44" s="176">
        <f t="shared" si="28"/>
        <v>7844.0208254031058</v>
      </c>
      <c r="W44" s="176">
        <f t="shared" si="28"/>
        <v>105.58295986861528</v>
      </c>
      <c r="X44" s="176">
        <f t="shared" si="28"/>
        <v>1150.1622998650691</v>
      </c>
      <c r="Y44" s="176">
        <f t="shared" si="28"/>
        <v>59.771379347654303</v>
      </c>
      <c r="Z44" s="176">
        <f t="shared" si="28"/>
        <v>212.81056355716242</v>
      </c>
      <c r="AA44" s="176">
        <f t="shared" si="28"/>
        <v>12.703251589753044</v>
      </c>
      <c r="AB44" s="100"/>
      <c r="AE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row>
    <row r="45" spans="1:96" x14ac:dyDescent="0.3">
      <c r="B45" s="26"/>
      <c r="C45" s="26"/>
      <c r="D45" s="26"/>
      <c r="E45" s="15"/>
      <c r="F45" s="109"/>
      <c r="G45" s="202"/>
      <c r="H45" s="26"/>
      <c r="I45" s="26"/>
      <c r="J45" s="26"/>
      <c r="K45" s="26"/>
      <c r="L45" s="26"/>
      <c r="M45" s="26"/>
      <c r="N45" s="26"/>
      <c r="O45" s="83"/>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row>
    <row r="46" spans="1:96" x14ac:dyDescent="0.3">
      <c r="B46" s="14"/>
      <c r="C46" s="12"/>
      <c r="D46" s="12"/>
      <c r="E46" s="15"/>
      <c r="F46" s="109"/>
      <c r="G46" s="26"/>
      <c r="H46" s="26"/>
      <c r="I46" s="26"/>
      <c r="J46" s="26"/>
      <c r="K46" s="26"/>
      <c r="L46" s="26"/>
      <c r="M46" s="26"/>
      <c r="N46" s="26"/>
      <c r="O46" s="26"/>
      <c r="P46" s="107"/>
      <c r="Q46" s="107"/>
      <c r="R46" s="107"/>
      <c r="S46" s="107"/>
      <c r="T46" s="107"/>
      <c r="U46" s="107"/>
      <c r="V46" s="107"/>
      <c r="W46" s="107"/>
      <c r="X46" s="107"/>
      <c r="Y46" s="107"/>
      <c r="Z46" s="107"/>
      <c r="AA46" s="107"/>
      <c r="AB46" s="107"/>
      <c r="AC46" s="107"/>
      <c r="AD46" s="107"/>
      <c r="AE46" s="107"/>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row>
    <row r="47" spans="1:96" x14ac:dyDescent="0.3">
      <c r="B47" s="296" t="s">
        <v>232</v>
      </c>
      <c r="C47" s="296"/>
      <c r="D47" s="296"/>
      <c r="E47" s="296"/>
      <c r="F47" s="296"/>
      <c r="G47" s="296"/>
      <c r="H47" s="296"/>
      <c r="I47" s="296"/>
      <c r="J47" s="296"/>
      <c r="K47" s="296"/>
      <c r="L47" s="296"/>
      <c r="M47" s="296"/>
      <c r="N47" s="296"/>
      <c r="O47" s="26"/>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row>
    <row r="48" spans="1:96" x14ac:dyDescent="0.3">
      <c r="B48" s="296" t="s">
        <v>256</v>
      </c>
      <c r="C48" s="296"/>
      <c r="D48" s="296"/>
      <c r="E48" s="296"/>
      <c r="F48" s="296"/>
      <c r="G48" s="296"/>
      <c r="H48" s="296"/>
      <c r="I48" s="296"/>
      <c r="J48" s="296"/>
      <c r="K48" s="296"/>
      <c r="L48" s="296"/>
      <c r="M48" s="296"/>
      <c r="N48" s="296"/>
      <c r="O48" s="26"/>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row>
    <row r="49" spans="1:96" x14ac:dyDescent="0.3">
      <c r="B49" s="26"/>
      <c r="C49" s="26"/>
      <c r="D49" s="26"/>
      <c r="E49" s="26"/>
      <c r="F49" s="109"/>
      <c r="G49" s="26"/>
      <c r="H49" s="26"/>
      <c r="I49" s="26"/>
      <c r="J49" s="26"/>
      <c r="K49" s="26"/>
      <c r="L49" s="26"/>
      <c r="M49" s="26"/>
      <c r="N49" s="26"/>
      <c r="O49" s="26"/>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row>
    <row r="50" spans="1:96" x14ac:dyDescent="0.3">
      <c r="B50" s="171" t="s">
        <v>48</v>
      </c>
      <c r="C50" s="199">
        <v>1073.875</v>
      </c>
      <c r="D50" s="26"/>
      <c r="E50" s="26"/>
      <c r="F50" s="109"/>
      <c r="G50" s="26"/>
      <c r="H50" s="26"/>
      <c r="I50" s="26"/>
      <c r="J50" s="26"/>
      <c r="K50" s="26"/>
      <c r="L50" s="26"/>
      <c r="M50" s="26"/>
      <c r="N50" s="26"/>
      <c r="O50" s="26"/>
      <c r="P50" s="26"/>
      <c r="Q50" s="26"/>
      <c r="R50" s="26"/>
      <c r="S50" s="26"/>
      <c r="T50" s="26"/>
      <c r="U50" s="26"/>
      <c r="V50" s="26"/>
      <c r="W50" s="26"/>
      <c r="X50" s="26"/>
      <c r="Y50" s="26"/>
      <c r="Z50" s="26"/>
    </row>
    <row r="51" spans="1:96" x14ac:dyDescent="0.3">
      <c r="B51" s="171" t="s">
        <v>47</v>
      </c>
      <c r="C51" s="200">
        <v>0.301875</v>
      </c>
      <c r="D51" s="26"/>
      <c r="E51" s="54"/>
      <c r="F51" s="109"/>
      <c r="G51" s="26"/>
      <c r="H51" s="26"/>
      <c r="I51" s="26"/>
      <c r="J51" s="26"/>
      <c r="K51" s="26"/>
      <c r="L51" s="26"/>
      <c r="M51" s="26"/>
      <c r="N51" s="26"/>
      <c r="O51" s="26"/>
      <c r="P51" s="26"/>
      <c r="Q51" s="26"/>
      <c r="R51" s="26"/>
      <c r="S51" s="26"/>
      <c r="T51" s="26"/>
      <c r="U51" s="26"/>
      <c r="V51" s="26"/>
      <c r="W51" s="26"/>
      <c r="X51" s="26"/>
      <c r="Y51" s="26"/>
      <c r="Z51" s="26"/>
    </row>
    <row r="52" spans="1:96" x14ac:dyDescent="0.3">
      <c r="B52" s="171" t="s">
        <v>178</v>
      </c>
      <c r="C52" s="242">
        <v>554.06863720577257</v>
      </c>
      <c r="D52" s="26"/>
      <c r="E52" s="26"/>
      <c r="G52" s="26"/>
      <c r="H52" s="26"/>
      <c r="I52" s="26"/>
      <c r="J52" s="26"/>
      <c r="K52" s="26"/>
      <c r="L52" s="26"/>
      <c r="M52" s="26"/>
      <c r="N52" s="26"/>
      <c r="O52" s="26"/>
      <c r="P52" s="26"/>
      <c r="Q52" s="26"/>
      <c r="R52" s="26"/>
      <c r="S52" s="26"/>
      <c r="T52" s="26"/>
      <c r="U52" s="26"/>
      <c r="V52" s="26"/>
      <c r="W52" s="26"/>
      <c r="X52" s="26"/>
      <c r="Y52" s="26"/>
      <c r="Z52" s="26"/>
    </row>
    <row r="53" spans="1:96" x14ac:dyDescent="0.3">
      <c r="D53" s="26"/>
      <c r="Q53" s="18"/>
      <c r="R53" s="18"/>
      <c r="S53" s="18"/>
      <c r="T53" s="18"/>
      <c r="U53" s="18"/>
      <c r="V53" s="18"/>
      <c r="W53" s="18"/>
      <c r="X53" s="18"/>
      <c r="Y53" s="18"/>
      <c r="Z53" s="18"/>
      <c r="AA53" s="18"/>
      <c r="AB53" s="18"/>
      <c r="AC53" s="18"/>
      <c r="AD53" s="18"/>
      <c r="AE53" s="18"/>
      <c r="AF53" s="18"/>
      <c r="AG53" s="18"/>
      <c r="AH53" s="18"/>
      <c r="AI53" s="18"/>
      <c r="AJ53" s="18"/>
      <c r="AK53" s="18"/>
    </row>
    <row r="55" spans="1:96" ht="20.25" x14ac:dyDescent="0.3">
      <c r="B55" s="289" t="s">
        <v>40</v>
      </c>
      <c r="C55" s="289"/>
      <c r="D55" s="289"/>
      <c r="E55" s="289"/>
      <c r="F55" s="289"/>
      <c r="G55" s="289"/>
      <c r="H55" s="289"/>
      <c r="I55" s="289"/>
      <c r="J55" s="289"/>
      <c r="K55" s="289"/>
      <c r="L55" s="289"/>
      <c r="M55" s="289"/>
      <c r="N55" s="289"/>
      <c r="O55" s="289"/>
      <c r="P55" s="289"/>
      <c r="Q55" s="289"/>
      <c r="R55" s="289"/>
      <c r="S55" s="289"/>
      <c r="T55" s="289"/>
      <c r="U55" s="289"/>
    </row>
    <row r="56" spans="1:96" ht="17.25" x14ac:dyDescent="0.3">
      <c r="B56" s="158" t="s">
        <v>44</v>
      </c>
      <c r="C56" s="2"/>
      <c r="D56" s="2"/>
      <c r="E56" s="2"/>
      <c r="F56" s="131"/>
      <c r="G56" s="2"/>
      <c r="H56" s="2"/>
      <c r="I56" s="2"/>
      <c r="J56" s="2"/>
      <c r="K56" s="2"/>
      <c r="L56" s="2"/>
      <c r="M56" s="2"/>
      <c r="N56" s="2"/>
      <c r="O56" s="2"/>
      <c r="P56" s="2"/>
      <c r="Q56" s="2"/>
      <c r="R56" s="2"/>
      <c r="S56" s="2"/>
      <c r="T56" s="2"/>
      <c r="U56" s="2"/>
    </row>
    <row r="57" spans="1:96" x14ac:dyDescent="0.3">
      <c r="G57" s="133"/>
      <c r="H57" s="133"/>
      <c r="I57" s="133"/>
      <c r="J57" s="133"/>
      <c r="K57" s="133"/>
      <c r="L57" s="133"/>
      <c r="M57" s="133"/>
      <c r="N57" s="133"/>
      <c r="O57" s="133"/>
      <c r="P57" s="133"/>
      <c r="Q57" s="133"/>
      <c r="R57" s="133"/>
      <c r="S57" s="133"/>
    </row>
    <row r="58" spans="1:96" ht="32.25" customHeight="1" x14ac:dyDescent="0.3">
      <c r="F58" s="172">
        <v>2025</v>
      </c>
      <c r="G58" s="172">
        <v>2025</v>
      </c>
      <c r="H58" s="172">
        <v>2026</v>
      </c>
      <c r="I58" s="172">
        <v>2026</v>
      </c>
      <c r="J58" s="172">
        <v>2027</v>
      </c>
      <c r="K58" s="172">
        <v>2027</v>
      </c>
      <c r="L58" s="172">
        <v>2028</v>
      </c>
      <c r="M58" s="172">
        <v>2028</v>
      </c>
      <c r="N58" s="172">
        <v>2029</v>
      </c>
      <c r="O58" s="172">
        <v>2029</v>
      </c>
      <c r="P58" s="173" t="s">
        <v>162</v>
      </c>
      <c r="Q58" s="173" t="s">
        <v>162</v>
      </c>
      <c r="R58" s="101"/>
      <c r="Y58" s="102"/>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row>
    <row r="59" spans="1:96" ht="33.75" customHeight="1" x14ac:dyDescent="0.3">
      <c r="B59" s="159" t="s">
        <v>0</v>
      </c>
      <c r="C59" s="159" t="s">
        <v>1</v>
      </c>
      <c r="D59" s="160" t="s">
        <v>127</v>
      </c>
      <c r="E59" s="160" t="s">
        <v>91</v>
      </c>
      <c r="F59" s="159" t="s">
        <v>2</v>
      </c>
      <c r="G59" s="174" t="s">
        <v>95</v>
      </c>
      <c r="H59" s="159" t="s">
        <v>2</v>
      </c>
      <c r="I59" s="174" t="s">
        <v>95</v>
      </c>
      <c r="J59" s="159" t="s">
        <v>2</v>
      </c>
      <c r="K59" s="174" t="s">
        <v>95</v>
      </c>
      <c r="L59" s="159" t="s">
        <v>2</v>
      </c>
      <c r="M59" s="174" t="s">
        <v>95</v>
      </c>
      <c r="N59" s="159" t="s">
        <v>2</v>
      </c>
      <c r="O59" s="174" t="s">
        <v>95</v>
      </c>
      <c r="P59" s="159" t="s">
        <v>2</v>
      </c>
      <c r="Q59" s="159" t="s">
        <v>95</v>
      </c>
      <c r="R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row>
    <row r="60" spans="1:96" ht="27.95" customHeight="1" x14ac:dyDescent="0.3">
      <c r="B60" s="162" t="s">
        <v>85</v>
      </c>
      <c r="C60" s="162"/>
      <c r="D60" s="162"/>
      <c r="E60" s="162"/>
      <c r="F60" s="175">
        <f t="shared" ref="F60:Q60" si="29">+SUM(F61:F64)</f>
        <v>387.05818825602267</v>
      </c>
      <c r="G60" s="175">
        <f t="shared" si="29"/>
        <v>0</v>
      </c>
      <c r="H60" s="175">
        <f t="shared" si="29"/>
        <v>245.83550357286441</v>
      </c>
      <c r="I60" s="175">
        <f t="shared" si="29"/>
        <v>0</v>
      </c>
      <c r="J60" s="175">
        <f t="shared" si="29"/>
        <v>198.3651264203861</v>
      </c>
      <c r="K60" s="175">
        <f t="shared" si="29"/>
        <v>0</v>
      </c>
      <c r="L60" s="175">
        <f t="shared" si="29"/>
        <v>198.3651264203861</v>
      </c>
      <c r="M60" s="175">
        <f t="shared" si="29"/>
        <v>0</v>
      </c>
      <c r="N60" s="175">
        <f t="shared" si="29"/>
        <v>198.3651264203861</v>
      </c>
      <c r="O60" s="175">
        <f t="shared" si="29"/>
        <v>0</v>
      </c>
      <c r="P60" s="175">
        <f t="shared" si="29"/>
        <v>185.96730601911199</v>
      </c>
      <c r="Q60" s="175">
        <f t="shared" si="29"/>
        <v>0</v>
      </c>
      <c r="R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row>
    <row r="61" spans="1:96" ht="27.95" customHeight="1" x14ac:dyDescent="0.3">
      <c r="A61" s="59"/>
      <c r="B61" s="151" t="s">
        <v>179</v>
      </c>
      <c r="C61" s="151" t="s">
        <v>230</v>
      </c>
      <c r="D61" s="151" t="str">
        <f>+VLOOKUP($C61,$C$10:$D$42,2,FALSE)</f>
        <v>Pesos</v>
      </c>
      <c r="E61" s="151" t="s">
        <v>85</v>
      </c>
      <c r="F61" s="196">
        <v>186.92311396227876</v>
      </c>
      <c r="G61" s="196">
        <v>0</v>
      </c>
      <c r="H61" s="196">
        <v>198.3651264203861</v>
      </c>
      <c r="I61" s="196">
        <v>0</v>
      </c>
      <c r="J61" s="196">
        <v>198.3651264203861</v>
      </c>
      <c r="K61" s="196">
        <v>0</v>
      </c>
      <c r="L61" s="196">
        <v>198.3651264203861</v>
      </c>
      <c r="M61" s="196">
        <v>0</v>
      </c>
      <c r="N61" s="196">
        <v>198.3651264203861</v>
      </c>
      <c r="O61" s="196">
        <v>0</v>
      </c>
      <c r="P61" s="196">
        <v>185.96730601911199</v>
      </c>
      <c r="Q61" s="196">
        <v>0</v>
      </c>
      <c r="S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row>
    <row r="62" spans="1:96" ht="27.95" customHeight="1" x14ac:dyDescent="0.3">
      <c r="A62" s="59"/>
      <c r="B62" s="151" t="s">
        <v>3</v>
      </c>
      <c r="C62" s="151" t="s">
        <v>4</v>
      </c>
      <c r="D62" s="151" t="str">
        <f>+VLOOKUP($C62,$C$10:$D$42,2,FALSE)</f>
        <v>Pesos</v>
      </c>
      <c r="E62" s="151" t="s">
        <v>85</v>
      </c>
      <c r="F62" s="196">
        <v>158.78384570999998</v>
      </c>
      <c r="G62" s="196">
        <v>0</v>
      </c>
      <c r="H62" s="196">
        <v>26.63559433</v>
      </c>
      <c r="I62" s="196">
        <v>0</v>
      </c>
      <c r="J62" s="196">
        <v>0</v>
      </c>
      <c r="K62" s="196">
        <v>0</v>
      </c>
      <c r="L62" s="196">
        <v>0</v>
      </c>
      <c r="M62" s="196">
        <v>0</v>
      </c>
      <c r="N62" s="196">
        <v>0</v>
      </c>
      <c r="O62" s="196">
        <v>0</v>
      </c>
      <c r="P62" s="196">
        <v>0</v>
      </c>
      <c r="Q62" s="196">
        <v>0</v>
      </c>
      <c r="S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row>
    <row r="63" spans="1:96" ht="27.95" customHeight="1" x14ac:dyDescent="0.3">
      <c r="A63" s="59"/>
      <c r="B63" s="151" t="s">
        <v>5</v>
      </c>
      <c r="C63" s="151" t="s">
        <v>6</v>
      </c>
      <c r="D63" s="151" t="str">
        <f>+VLOOKUP($C63,$C$10:$D$42,2,FALSE)</f>
        <v>Pesos</v>
      </c>
      <c r="E63" s="151" t="s">
        <v>85</v>
      </c>
      <c r="F63" s="196">
        <v>24.199206670000002</v>
      </c>
      <c r="G63" s="196">
        <v>0</v>
      </c>
      <c r="H63" s="196">
        <v>19.39617823</v>
      </c>
      <c r="I63" s="196">
        <v>0</v>
      </c>
      <c r="J63" s="196">
        <v>0</v>
      </c>
      <c r="K63" s="196">
        <v>0</v>
      </c>
      <c r="L63" s="196">
        <v>0</v>
      </c>
      <c r="M63" s="196">
        <v>0</v>
      </c>
      <c r="N63" s="196">
        <v>0</v>
      </c>
      <c r="O63" s="196">
        <v>0</v>
      </c>
      <c r="P63" s="196">
        <v>0</v>
      </c>
      <c r="Q63" s="196">
        <v>0</v>
      </c>
      <c r="S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row>
    <row r="64" spans="1:96" ht="27.95" customHeight="1" x14ac:dyDescent="0.3">
      <c r="A64" s="59"/>
      <c r="B64" s="151" t="s">
        <v>7</v>
      </c>
      <c r="C64" s="151" t="s">
        <v>8</v>
      </c>
      <c r="D64" s="151" t="str">
        <f>+VLOOKUP($C64,$C$10:$D$42,2,FALSE)</f>
        <v>Pesos</v>
      </c>
      <c r="E64" s="151" t="s">
        <v>85</v>
      </c>
      <c r="F64" s="196">
        <v>17.15202191374393</v>
      </c>
      <c r="G64" s="196">
        <v>0</v>
      </c>
      <c r="H64" s="196">
        <v>1.4386045924782902</v>
      </c>
      <c r="I64" s="196">
        <v>0</v>
      </c>
      <c r="J64" s="196">
        <v>0</v>
      </c>
      <c r="K64" s="196">
        <v>0</v>
      </c>
      <c r="L64" s="196">
        <v>0</v>
      </c>
      <c r="M64" s="196">
        <v>0</v>
      </c>
      <c r="N64" s="196">
        <v>0</v>
      </c>
      <c r="O64" s="196">
        <v>0</v>
      </c>
      <c r="P64" s="196">
        <v>0</v>
      </c>
      <c r="Q64" s="196">
        <v>0</v>
      </c>
      <c r="S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row>
    <row r="65" spans="1:70" ht="27.95" customHeight="1" x14ac:dyDescent="0.3">
      <c r="A65" s="59"/>
      <c r="B65" s="162" t="s">
        <v>86</v>
      </c>
      <c r="C65" s="162"/>
      <c r="D65" s="162"/>
      <c r="E65" s="162"/>
      <c r="F65" s="175">
        <f>+F67+F66</f>
        <v>5415.9074418859254</v>
      </c>
      <c r="G65" s="175">
        <f t="shared" ref="G65:Q65" si="30">+G67+G66</f>
        <v>0</v>
      </c>
      <c r="H65" s="175">
        <f t="shared" si="30"/>
        <v>10947.425960404446</v>
      </c>
      <c r="I65" s="175">
        <f t="shared" si="30"/>
        <v>0</v>
      </c>
      <c r="J65" s="175">
        <f t="shared" si="30"/>
        <v>8435.0202653044453</v>
      </c>
      <c r="K65" s="175">
        <f t="shared" si="30"/>
        <v>0</v>
      </c>
      <c r="L65" s="175">
        <f t="shared" si="30"/>
        <v>6640.4444444444462</v>
      </c>
      <c r="M65" s="175">
        <f t="shared" si="30"/>
        <v>0</v>
      </c>
      <c r="N65" s="175">
        <f t="shared" si="30"/>
        <v>0</v>
      </c>
      <c r="O65" s="175">
        <f t="shared" si="30"/>
        <v>0</v>
      </c>
      <c r="P65" s="175">
        <f t="shared" si="30"/>
        <v>0</v>
      </c>
      <c r="Q65" s="175">
        <f t="shared" si="30"/>
        <v>0</v>
      </c>
      <c r="R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row>
    <row r="66" spans="1:70" ht="27.95" customHeight="1" x14ac:dyDescent="0.3">
      <c r="A66" s="59"/>
      <c r="B66" s="8" t="s">
        <v>247</v>
      </c>
      <c r="C66" s="8" t="s">
        <v>248</v>
      </c>
      <c r="D66" s="8" t="s">
        <v>2</v>
      </c>
      <c r="E66" s="151" t="s">
        <v>86</v>
      </c>
      <c r="F66" s="196">
        <v>1108.9259259259256</v>
      </c>
      <c r="G66" s="196">
        <v>0</v>
      </c>
      <c r="H66" s="196">
        <v>6640.4444444444462</v>
      </c>
      <c r="I66" s="196">
        <v>0</v>
      </c>
      <c r="J66" s="196">
        <v>6640.4444444444462</v>
      </c>
      <c r="K66" s="196">
        <v>0</v>
      </c>
      <c r="L66" s="196">
        <v>6640.4444444444462</v>
      </c>
      <c r="M66" s="196">
        <v>0</v>
      </c>
      <c r="N66" s="196">
        <v>0</v>
      </c>
      <c r="O66" s="196">
        <v>0</v>
      </c>
      <c r="P66" s="196">
        <v>0</v>
      </c>
      <c r="Q66" s="196">
        <v>0</v>
      </c>
      <c r="S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row>
    <row r="67" spans="1:70" ht="27.95" customHeight="1" x14ac:dyDescent="0.3">
      <c r="A67" s="59"/>
      <c r="B67" s="151" t="s">
        <v>135</v>
      </c>
      <c r="C67" s="151" t="s">
        <v>136</v>
      </c>
      <c r="D67" s="151" t="str">
        <f>+VLOOKUP($C67,$C$10:$D$42,2,FALSE)</f>
        <v>Pesos</v>
      </c>
      <c r="E67" s="151" t="s">
        <v>86</v>
      </c>
      <c r="F67" s="196">
        <v>4306.9815159600003</v>
      </c>
      <c r="G67" s="196">
        <v>0</v>
      </c>
      <c r="H67" s="196">
        <v>4306.9815159600003</v>
      </c>
      <c r="I67" s="196">
        <v>0</v>
      </c>
      <c r="J67" s="196">
        <v>1794.5758208599998</v>
      </c>
      <c r="K67" s="196">
        <v>0</v>
      </c>
      <c r="L67" s="196">
        <v>0</v>
      </c>
      <c r="M67" s="196">
        <v>0</v>
      </c>
      <c r="N67" s="196">
        <v>0</v>
      </c>
      <c r="O67" s="196">
        <v>0</v>
      </c>
      <c r="P67" s="196">
        <v>0</v>
      </c>
      <c r="Q67" s="196">
        <v>0</v>
      </c>
      <c r="S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row>
    <row r="68" spans="1:70" ht="27.95" customHeight="1" x14ac:dyDescent="0.3">
      <c r="A68" s="59"/>
      <c r="B68" s="162" t="s">
        <v>9</v>
      </c>
      <c r="C68" s="162"/>
      <c r="D68" s="162"/>
      <c r="E68" s="162"/>
      <c r="F68" s="175">
        <f t="shared" ref="F68:Q68" si="31">+SUM(F69,F80)</f>
        <v>0</v>
      </c>
      <c r="G68" s="175">
        <f t="shared" si="31"/>
        <v>18.249189230182328</v>
      </c>
      <c r="H68" s="175">
        <f t="shared" si="31"/>
        <v>0</v>
      </c>
      <c r="I68" s="175">
        <f t="shared" si="31"/>
        <v>13.892661576896796</v>
      </c>
      <c r="J68" s="175">
        <f t="shared" si="31"/>
        <v>0</v>
      </c>
      <c r="K68" s="175">
        <f t="shared" si="31"/>
        <v>13.892993656896792</v>
      </c>
      <c r="L68" s="175">
        <f t="shared" si="31"/>
        <v>0</v>
      </c>
      <c r="M68" s="175">
        <f t="shared" si="31"/>
        <v>13.893329706896793</v>
      </c>
      <c r="N68" s="175">
        <f t="shared" si="31"/>
        <v>0</v>
      </c>
      <c r="O68" s="175">
        <f t="shared" si="31"/>
        <v>13.893669766896792</v>
      </c>
      <c r="P68" s="175">
        <f t="shared" si="31"/>
        <v>0</v>
      </c>
      <c r="Q68" s="175">
        <f t="shared" si="31"/>
        <v>10.326127043125618</v>
      </c>
      <c r="R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row>
    <row r="69" spans="1:70" ht="27.95" customHeight="1" x14ac:dyDescent="0.3">
      <c r="A69" s="59"/>
      <c r="B69" s="167" t="s">
        <v>10</v>
      </c>
      <c r="C69" s="167"/>
      <c r="D69" s="167"/>
      <c r="E69" s="167"/>
      <c r="F69" s="178">
        <f t="shared" ref="F69:Q69" si="32">+SUM(F70:F79)</f>
        <v>0</v>
      </c>
      <c r="G69" s="178">
        <f t="shared" si="32"/>
        <v>16.064523790929364</v>
      </c>
      <c r="H69" s="178">
        <f t="shared" si="32"/>
        <v>0</v>
      </c>
      <c r="I69" s="178">
        <f t="shared" si="32"/>
        <v>11.615247654729735</v>
      </c>
      <c r="J69" s="178">
        <f t="shared" si="32"/>
        <v>0</v>
      </c>
      <c r="K69" s="178">
        <f t="shared" si="32"/>
        <v>11.615579734729733</v>
      </c>
      <c r="L69" s="178">
        <f t="shared" si="32"/>
        <v>0</v>
      </c>
      <c r="M69" s="178">
        <f t="shared" si="32"/>
        <v>11.615915784729733</v>
      </c>
      <c r="N69" s="178">
        <f t="shared" si="32"/>
        <v>0</v>
      </c>
      <c r="O69" s="178">
        <f t="shared" si="32"/>
        <v>11.616255844729734</v>
      </c>
      <c r="P69" s="178">
        <f t="shared" si="32"/>
        <v>0</v>
      </c>
      <c r="Q69" s="178">
        <f t="shared" si="32"/>
        <v>8.4082000948032025</v>
      </c>
      <c r="R69" s="106"/>
      <c r="Y69" s="106"/>
      <c r="Z69" s="106"/>
      <c r="AA69" s="106"/>
      <c r="AB69" s="106"/>
      <c r="AC69" s="106"/>
      <c r="AD69" s="106"/>
      <c r="AE69" s="106"/>
      <c r="AF69" s="106"/>
      <c r="AG69" s="106"/>
      <c r="AH69" s="106"/>
      <c r="AI69" s="106"/>
      <c r="AJ69" s="106"/>
      <c r="AK69" s="106"/>
      <c r="AL69" s="106"/>
      <c r="AM69" s="106"/>
      <c r="AN69" s="106"/>
      <c r="AO69" s="106"/>
      <c r="AP69" s="106"/>
      <c r="AQ69" s="106"/>
      <c r="AR69" s="106"/>
      <c r="AS69" s="106"/>
      <c r="AT69" s="106"/>
      <c r="AU69" s="106"/>
      <c r="AV69" s="106"/>
      <c r="AW69" s="106"/>
      <c r="AX69" s="106"/>
      <c r="AY69" s="106"/>
      <c r="AZ69" s="106"/>
      <c r="BA69" s="106"/>
      <c r="BB69" s="106"/>
      <c r="BC69" s="106"/>
      <c r="BD69" s="106"/>
      <c r="BE69" s="106"/>
      <c r="BF69" s="106"/>
      <c r="BG69" s="106"/>
      <c r="BH69" s="106"/>
      <c r="BI69" s="106"/>
      <c r="BJ69" s="106"/>
      <c r="BK69" s="106"/>
      <c r="BL69" s="106"/>
      <c r="BM69" s="106"/>
      <c r="BN69" s="106"/>
      <c r="BO69" s="106"/>
      <c r="BP69" s="106"/>
      <c r="BQ69" s="106"/>
      <c r="BR69" s="106"/>
    </row>
    <row r="70" spans="1:70" ht="27.95" customHeight="1" x14ac:dyDescent="0.3">
      <c r="A70" s="59"/>
      <c r="B70" s="151" t="s">
        <v>17</v>
      </c>
      <c r="C70" s="151" t="s">
        <v>18</v>
      </c>
      <c r="D70" s="151" t="str">
        <f>+VLOOKUP($C70,$C$10:$D$42,2,FALSE)</f>
        <v>USD</v>
      </c>
      <c r="E70" s="151" t="s">
        <v>88</v>
      </c>
      <c r="F70" s="196">
        <v>0</v>
      </c>
      <c r="G70" s="196">
        <v>2.5411806205221881</v>
      </c>
      <c r="H70" s="196">
        <v>0</v>
      </c>
      <c r="I70" s="196">
        <v>2.5411806210443753</v>
      </c>
      <c r="J70" s="196">
        <v>0</v>
      </c>
      <c r="K70" s="196">
        <v>2.5411806210443753</v>
      </c>
      <c r="L70" s="196">
        <v>0</v>
      </c>
      <c r="M70" s="196">
        <v>2.5411806210443748</v>
      </c>
      <c r="N70" s="196">
        <v>0</v>
      </c>
      <c r="O70" s="196">
        <v>2.5411806210443748</v>
      </c>
      <c r="P70" s="196">
        <v>0</v>
      </c>
      <c r="Q70" s="196">
        <v>0</v>
      </c>
      <c r="S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row>
    <row r="71" spans="1:70" ht="27.95" customHeight="1" x14ac:dyDescent="0.3">
      <c r="A71" s="59"/>
      <c r="B71" s="151" t="s">
        <v>121</v>
      </c>
      <c r="C71" s="151" t="s">
        <v>122</v>
      </c>
      <c r="D71" s="151" t="str">
        <f>+VLOOKUP($C71,$C$10:$D$42,2,FALSE)</f>
        <v>USD</v>
      </c>
      <c r="E71" s="151" t="s">
        <v>88</v>
      </c>
      <c r="F71" s="196">
        <v>0</v>
      </c>
      <c r="G71" s="196">
        <v>1.7225999999999999</v>
      </c>
      <c r="H71" s="196">
        <v>0</v>
      </c>
      <c r="I71" s="196">
        <v>1.7225999999999999</v>
      </c>
      <c r="J71" s="196">
        <v>0</v>
      </c>
      <c r="K71" s="196">
        <v>1.7225999999999999</v>
      </c>
      <c r="L71" s="196">
        <v>0</v>
      </c>
      <c r="M71" s="196">
        <v>1.7225999999999999</v>
      </c>
      <c r="N71" s="196">
        <v>0</v>
      </c>
      <c r="O71" s="196">
        <v>1.7225999999999999</v>
      </c>
      <c r="P71" s="196">
        <v>0</v>
      </c>
      <c r="Q71" s="196">
        <v>0.67477328799999958</v>
      </c>
      <c r="S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row>
    <row r="72" spans="1:70" ht="27.95" customHeight="1" x14ac:dyDescent="0.3">
      <c r="A72" s="59"/>
      <c r="B72" s="151" t="s">
        <v>11</v>
      </c>
      <c r="C72" s="151" t="s">
        <v>12</v>
      </c>
      <c r="D72" s="151" t="str">
        <f>+VLOOKUP($C72,$C$10:$D$42,2,FALSE)</f>
        <v>USD</v>
      </c>
      <c r="E72" s="151" t="s">
        <v>88</v>
      </c>
      <c r="F72" s="196">
        <v>0</v>
      </c>
      <c r="G72" s="196">
        <v>2.8515320943328861</v>
      </c>
      <c r="H72" s="196">
        <v>0</v>
      </c>
      <c r="I72" s="196">
        <v>2.8515320943328861</v>
      </c>
      <c r="J72" s="196">
        <v>0</v>
      </c>
      <c r="K72" s="196">
        <v>2.8515320943328861</v>
      </c>
      <c r="L72" s="196">
        <v>0</v>
      </c>
      <c r="M72" s="196">
        <v>2.8515320943328861</v>
      </c>
      <c r="N72" s="196">
        <v>0</v>
      </c>
      <c r="O72" s="196">
        <v>2.8515320943328861</v>
      </c>
      <c r="P72" s="196">
        <v>0</v>
      </c>
      <c r="Q72" s="196">
        <v>2.5411806210443753</v>
      </c>
      <c r="R72" s="67"/>
      <c r="S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row>
    <row r="73" spans="1:70" ht="27.95" customHeight="1" x14ac:dyDescent="0.3">
      <c r="A73" s="59"/>
      <c r="B73" s="151" t="s">
        <v>13</v>
      </c>
      <c r="C73" s="151" t="s">
        <v>14</v>
      </c>
      <c r="D73" s="151" t="str">
        <f>+VLOOKUP($C73,$C$10:$D$42,2,FALSE)</f>
        <v>USD</v>
      </c>
      <c r="E73" s="151" t="s">
        <v>88</v>
      </c>
      <c r="F73" s="196">
        <v>0</v>
      </c>
      <c r="G73" s="196">
        <v>2.891885519999998</v>
      </c>
      <c r="H73" s="196">
        <v>0</v>
      </c>
      <c r="I73" s="196">
        <v>2.891885519999998</v>
      </c>
      <c r="J73" s="196">
        <v>0</v>
      </c>
      <c r="K73" s="196">
        <v>2.891885519999998</v>
      </c>
      <c r="L73" s="196">
        <v>0</v>
      </c>
      <c r="M73" s="196">
        <v>2.891885519999998</v>
      </c>
      <c r="N73" s="196">
        <v>0</v>
      </c>
      <c r="O73" s="196">
        <v>2.891885519999998</v>
      </c>
      <c r="P73" s="196">
        <v>0</v>
      </c>
      <c r="Q73" s="196">
        <v>2.8515320943328861</v>
      </c>
      <c r="R73" s="67"/>
      <c r="S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row>
    <row r="74" spans="1:70" ht="27.95" customHeight="1" x14ac:dyDescent="0.3">
      <c r="A74" s="59"/>
      <c r="B74" s="151" t="s">
        <v>21</v>
      </c>
      <c r="C74" s="151" t="s">
        <v>22</v>
      </c>
      <c r="D74" s="151" t="str">
        <f>+VLOOKUP($C74,$C$10:$D$42,2,FALSE)</f>
        <v>USD</v>
      </c>
      <c r="E74" s="151" t="s">
        <v>88</v>
      </c>
      <c r="F74" s="196">
        <v>0</v>
      </c>
      <c r="G74" s="196">
        <v>0.76524536328081116</v>
      </c>
      <c r="H74" s="196">
        <v>0</v>
      </c>
      <c r="I74" s="196">
        <v>0.76524536656162212</v>
      </c>
      <c r="J74" s="196">
        <v>0</v>
      </c>
      <c r="K74" s="196">
        <v>0.76524536656162201</v>
      </c>
      <c r="L74" s="196">
        <v>0</v>
      </c>
      <c r="M74" s="196">
        <v>0.7652453665616219</v>
      </c>
      <c r="N74" s="196">
        <v>0</v>
      </c>
      <c r="O74" s="196">
        <v>0.7652453665616219</v>
      </c>
      <c r="P74" s="196">
        <v>0</v>
      </c>
      <c r="Q74" s="196">
        <v>1.7225999999999999</v>
      </c>
      <c r="R74" s="67"/>
      <c r="S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row>
    <row r="75" spans="1:70" ht="27.95" customHeight="1" x14ac:dyDescent="0.3">
      <c r="A75" s="59"/>
      <c r="B75" s="151" t="s">
        <v>138</v>
      </c>
      <c r="C75" s="151" t="s">
        <v>204</v>
      </c>
      <c r="D75" s="151" t="s">
        <v>95</v>
      </c>
      <c r="E75" s="151" t="s">
        <v>88</v>
      </c>
      <c r="F75" s="196">
        <v>0</v>
      </c>
      <c r="G75" s="196">
        <v>0</v>
      </c>
      <c r="H75" s="196">
        <v>0</v>
      </c>
      <c r="I75" s="196">
        <v>0.42120555006102905</v>
      </c>
      <c r="J75" s="196">
        <v>0</v>
      </c>
      <c r="K75" s="196">
        <v>0.42120555006102905</v>
      </c>
      <c r="L75" s="196">
        <v>0</v>
      </c>
      <c r="M75" s="196">
        <v>0.42120555006102905</v>
      </c>
      <c r="N75" s="196">
        <v>0</v>
      </c>
      <c r="O75" s="196">
        <v>0.42120555006102905</v>
      </c>
      <c r="P75" s="196">
        <v>0</v>
      </c>
      <c r="Q75" s="196">
        <v>0</v>
      </c>
      <c r="R75" s="67"/>
      <c r="S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row>
    <row r="76" spans="1:70" ht="27.95" customHeight="1" x14ac:dyDescent="0.3">
      <c r="A76" s="59"/>
      <c r="B76" s="151" t="s">
        <v>15</v>
      </c>
      <c r="C76" s="151" t="s">
        <v>16</v>
      </c>
      <c r="D76" s="151" t="s">
        <v>95</v>
      </c>
      <c r="E76" s="151" t="s">
        <v>88</v>
      </c>
      <c r="F76" s="196">
        <v>0</v>
      </c>
      <c r="G76" s="196">
        <v>4.8708098514285698</v>
      </c>
      <c r="H76" s="196">
        <v>0</v>
      </c>
      <c r="I76" s="196">
        <v>0</v>
      </c>
      <c r="J76" s="196">
        <v>0</v>
      </c>
      <c r="K76" s="196">
        <v>0</v>
      </c>
      <c r="L76" s="196">
        <v>0</v>
      </c>
      <c r="M76" s="196">
        <v>0</v>
      </c>
      <c r="N76" s="196">
        <v>0</v>
      </c>
      <c r="O76" s="196">
        <v>0</v>
      </c>
      <c r="P76" s="196">
        <v>0</v>
      </c>
      <c r="Q76" s="196">
        <v>0</v>
      </c>
      <c r="R76" s="67"/>
      <c r="S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row>
    <row r="77" spans="1:70" ht="27.95" customHeight="1" x14ac:dyDescent="0.3">
      <c r="A77" s="59"/>
      <c r="B77" s="151" t="s">
        <v>19</v>
      </c>
      <c r="C77" s="151" t="s">
        <v>20</v>
      </c>
      <c r="D77" s="151" t="s">
        <v>95</v>
      </c>
      <c r="E77" s="151" t="s">
        <v>88</v>
      </c>
      <c r="F77" s="196">
        <v>0</v>
      </c>
      <c r="G77" s="196">
        <v>0.39381707136491206</v>
      </c>
      <c r="H77" s="196">
        <v>0</v>
      </c>
      <c r="I77" s="196">
        <v>0.39381708272982424</v>
      </c>
      <c r="J77" s="196">
        <v>0</v>
      </c>
      <c r="K77" s="196">
        <v>0.39381708272982413</v>
      </c>
      <c r="L77" s="196">
        <v>0</v>
      </c>
      <c r="M77" s="196">
        <v>0.39381708272982413</v>
      </c>
      <c r="N77" s="196">
        <v>0</v>
      </c>
      <c r="O77" s="196">
        <v>0.39381708272982413</v>
      </c>
      <c r="P77" s="196">
        <v>0</v>
      </c>
      <c r="Q77" s="196">
        <v>0.42120555006102905</v>
      </c>
      <c r="R77" s="67"/>
      <c r="S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row>
    <row r="78" spans="1:70" ht="27.95" customHeight="1" x14ac:dyDescent="0.3">
      <c r="A78" s="59"/>
      <c r="B78" s="151" t="s">
        <v>25</v>
      </c>
      <c r="C78" s="151" t="s">
        <v>26</v>
      </c>
      <c r="D78" s="151" t="str">
        <f>+VLOOKUP($C78,$C$10:$D$42,2,FALSE)</f>
        <v>USD</v>
      </c>
      <c r="E78" s="151" t="s">
        <v>88</v>
      </c>
      <c r="F78" s="196">
        <v>0</v>
      </c>
      <c r="G78" s="196">
        <v>2.7453270000000002E-2</v>
      </c>
      <c r="H78" s="196">
        <v>0</v>
      </c>
      <c r="I78" s="196">
        <v>2.7781419999999998E-2</v>
      </c>
      <c r="J78" s="196">
        <v>0</v>
      </c>
      <c r="K78" s="196">
        <v>2.81135E-2</v>
      </c>
      <c r="L78" s="196">
        <v>0</v>
      </c>
      <c r="M78" s="196">
        <v>2.8449550000000004E-2</v>
      </c>
      <c r="N78" s="196">
        <v>0</v>
      </c>
      <c r="O78" s="196">
        <v>2.878961E-2</v>
      </c>
      <c r="P78" s="196">
        <v>0</v>
      </c>
      <c r="Q78" s="196">
        <v>0.19690854136491209</v>
      </c>
      <c r="R78" s="67"/>
      <c r="S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row>
    <row r="79" spans="1:70" ht="27.95" customHeight="1" x14ac:dyDescent="0.3">
      <c r="A79" s="59"/>
      <c r="B79" s="151" t="s">
        <v>27</v>
      </c>
      <c r="C79" s="151" t="s">
        <v>28</v>
      </c>
      <c r="D79" s="151" t="str">
        <f>+VLOOKUP($C79,$C$10:$D$42,2,FALSE)</f>
        <v>USD</v>
      </c>
      <c r="E79" s="151" t="s">
        <v>88</v>
      </c>
      <c r="F79" s="196">
        <v>0</v>
      </c>
      <c r="G79" s="196">
        <v>0</v>
      </c>
      <c r="H79" s="196">
        <v>0</v>
      </c>
      <c r="I79" s="196">
        <v>0</v>
      </c>
      <c r="J79" s="196">
        <v>0</v>
      </c>
      <c r="K79" s="196">
        <v>0</v>
      </c>
      <c r="L79" s="196">
        <v>0</v>
      </c>
      <c r="M79" s="196">
        <v>0</v>
      </c>
      <c r="N79" s="196">
        <v>0</v>
      </c>
      <c r="O79" s="196">
        <v>0</v>
      </c>
      <c r="P79" s="196">
        <v>0</v>
      </c>
      <c r="Q79" s="196">
        <v>0</v>
      </c>
      <c r="R79" s="67"/>
      <c r="S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row>
    <row r="80" spans="1:70" ht="27.95" customHeight="1" x14ac:dyDescent="0.3">
      <c r="A80" s="59"/>
      <c r="B80" s="167" t="s">
        <v>29</v>
      </c>
      <c r="C80" s="167"/>
      <c r="D80" s="167"/>
      <c r="E80" s="167"/>
      <c r="F80" s="178">
        <f t="shared" ref="F80:Q80" si="33">+SUM(F81:F83)</f>
        <v>0</v>
      </c>
      <c r="G80" s="178">
        <f t="shared" si="33"/>
        <v>2.1846654392529645</v>
      </c>
      <c r="H80" s="178">
        <f t="shared" si="33"/>
        <v>0</v>
      </c>
      <c r="I80" s="178">
        <f t="shared" si="33"/>
        <v>2.2774139221670593</v>
      </c>
      <c r="J80" s="178">
        <f t="shared" si="33"/>
        <v>0</v>
      </c>
      <c r="K80" s="178">
        <f t="shared" si="33"/>
        <v>2.2774139221670593</v>
      </c>
      <c r="L80" s="178">
        <f t="shared" si="33"/>
        <v>0</v>
      </c>
      <c r="M80" s="178">
        <f t="shared" si="33"/>
        <v>2.2774139221670593</v>
      </c>
      <c r="N80" s="178">
        <f t="shared" si="33"/>
        <v>0</v>
      </c>
      <c r="O80" s="178">
        <f t="shared" si="33"/>
        <v>2.2774139221670593</v>
      </c>
      <c r="P80" s="178">
        <f t="shared" si="33"/>
        <v>0</v>
      </c>
      <c r="Q80" s="178">
        <f t="shared" si="33"/>
        <v>1.9179269483224153</v>
      </c>
      <c r="R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row>
    <row r="81" spans="1:86" ht="27.95" customHeight="1" x14ac:dyDescent="0.3">
      <c r="A81" s="59"/>
      <c r="B81" s="151" t="s">
        <v>30</v>
      </c>
      <c r="C81" s="151" t="s">
        <v>31</v>
      </c>
      <c r="D81" s="151" t="str">
        <f>+VLOOKUP($C81,$C$10:$D$42,2,FALSE)</f>
        <v>USD</v>
      </c>
      <c r="E81" s="151" t="s">
        <v>88</v>
      </c>
      <c r="F81" s="196">
        <v>0</v>
      </c>
      <c r="G81" s="196">
        <v>1.7845577028571411</v>
      </c>
      <c r="H81" s="196">
        <v>0</v>
      </c>
      <c r="I81" s="196">
        <v>1.7845577028571411</v>
      </c>
      <c r="J81" s="196">
        <v>0</v>
      </c>
      <c r="K81" s="196">
        <v>1.7845577028571411</v>
      </c>
      <c r="L81" s="196">
        <v>0</v>
      </c>
      <c r="M81" s="196">
        <v>1.7845577028571411</v>
      </c>
      <c r="N81" s="196">
        <v>0</v>
      </c>
      <c r="O81" s="196">
        <v>1.7845577028571411</v>
      </c>
      <c r="P81" s="196">
        <v>0</v>
      </c>
      <c r="Q81" s="196">
        <v>0</v>
      </c>
      <c r="S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row>
    <row r="82" spans="1:86" ht="27.95" customHeight="1" x14ac:dyDescent="0.3">
      <c r="A82" s="59"/>
      <c r="B82" s="151" t="s">
        <v>160</v>
      </c>
      <c r="C82" s="151" t="s">
        <v>161</v>
      </c>
      <c r="D82" s="151" t="s">
        <v>95</v>
      </c>
      <c r="E82" s="151" t="s">
        <v>88</v>
      </c>
      <c r="F82" s="196">
        <v>0</v>
      </c>
      <c r="G82" s="196">
        <v>0.40010773639582331</v>
      </c>
      <c r="H82" s="196">
        <v>0</v>
      </c>
      <c r="I82" s="196">
        <v>0.40010773639582331</v>
      </c>
      <c r="J82" s="196">
        <v>0</v>
      </c>
      <c r="K82" s="196">
        <v>0.40010773639582331</v>
      </c>
      <c r="L82" s="196">
        <v>0</v>
      </c>
      <c r="M82" s="196">
        <v>0.40010773639582331</v>
      </c>
      <c r="N82" s="196">
        <v>0</v>
      </c>
      <c r="O82" s="196">
        <v>0.40010773639582331</v>
      </c>
      <c r="P82" s="196">
        <v>0</v>
      </c>
      <c r="Q82" s="196">
        <v>1.7845577028571409</v>
      </c>
      <c r="S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row>
    <row r="83" spans="1:86" ht="27.95" customHeight="1" x14ac:dyDescent="0.3">
      <c r="A83" s="59"/>
      <c r="B83" s="151" t="s">
        <v>139</v>
      </c>
      <c r="C83" s="151" t="s">
        <v>140</v>
      </c>
      <c r="D83" s="151" t="s">
        <v>95</v>
      </c>
      <c r="E83" s="151" t="s">
        <v>88</v>
      </c>
      <c r="F83" s="196">
        <v>0</v>
      </c>
      <c r="G83" s="196">
        <v>0</v>
      </c>
      <c r="H83" s="196">
        <v>0</v>
      </c>
      <c r="I83" s="196">
        <v>9.2748482914094543E-2</v>
      </c>
      <c r="J83" s="196">
        <v>0</v>
      </c>
      <c r="K83" s="196">
        <v>9.2748482914094543E-2</v>
      </c>
      <c r="L83" s="196">
        <v>0</v>
      </c>
      <c r="M83" s="196">
        <v>9.2748482914094543E-2</v>
      </c>
      <c r="N83" s="196">
        <v>0</v>
      </c>
      <c r="O83" s="196">
        <v>9.2748482914094543E-2</v>
      </c>
      <c r="P83" s="196">
        <v>0</v>
      </c>
      <c r="Q83" s="196">
        <v>0.13336924546527446</v>
      </c>
      <c r="S83" s="68"/>
      <c r="Y83" s="68"/>
      <c r="Z83" s="68"/>
      <c r="AA83" s="68"/>
      <c r="AB83" s="68"/>
      <c r="AC83" s="68"/>
      <c r="AD83" s="68"/>
      <c r="AE83" s="68"/>
      <c r="AF83" s="68"/>
      <c r="AG83" s="68"/>
      <c r="AH83" s="68"/>
      <c r="AI83" s="68"/>
      <c r="AJ83" s="68"/>
      <c r="AK83" s="68"/>
      <c r="AL83" s="68"/>
      <c r="AM83" s="68"/>
      <c r="AN83" s="68"/>
      <c r="AO83" s="68"/>
      <c r="AP83" s="68"/>
      <c r="AQ83" s="68"/>
      <c r="AR83" s="68"/>
      <c r="AS83" s="68"/>
      <c r="AT83" s="68"/>
      <c r="AU83" s="68"/>
      <c r="AV83" s="68"/>
      <c r="AW83" s="68"/>
      <c r="AX83" s="68"/>
      <c r="AY83" s="68"/>
      <c r="AZ83" s="68"/>
      <c r="BA83" s="68"/>
      <c r="BB83" s="68"/>
      <c r="BC83" s="68"/>
      <c r="BD83" s="68"/>
      <c r="BE83" s="68"/>
      <c r="BF83" s="68"/>
      <c r="BG83" s="68"/>
      <c r="BH83" s="68"/>
      <c r="BI83" s="68"/>
      <c r="BJ83" s="68"/>
      <c r="BK83" s="68"/>
      <c r="BL83" s="68"/>
      <c r="BM83" s="68"/>
      <c r="BN83" s="68"/>
      <c r="BO83" s="68"/>
      <c r="BP83" s="68"/>
      <c r="BQ83" s="68"/>
      <c r="BR83" s="68"/>
    </row>
    <row r="84" spans="1:86" ht="27.95" customHeight="1" x14ac:dyDescent="0.3">
      <c r="A84" s="59"/>
      <c r="B84" s="162" t="s">
        <v>89</v>
      </c>
      <c r="C84" s="162"/>
      <c r="D84" s="162"/>
      <c r="E84" s="162"/>
      <c r="F84" s="175">
        <f t="shared" ref="F84:Q84" si="34">+SUM(F85:F93)</f>
        <v>40149.73637755082</v>
      </c>
      <c r="G84" s="175">
        <f t="shared" si="34"/>
        <v>79.695538461538462</v>
      </c>
      <c r="H84" s="175">
        <f t="shared" si="34"/>
        <v>71286.43930967334</v>
      </c>
      <c r="I84" s="175">
        <f t="shared" si="34"/>
        <v>79.695538461538462</v>
      </c>
      <c r="J84" s="175">
        <f t="shared" si="34"/>
        <v>7665.8150439933333</v>
      </c>
      <c r="K84" s="175">
        <f t="shared" si="34"/>
        <v>79.695538461538462</v>
      </c>
      <c r="L84" s="175">
        <f t="shared" si="34"/>
        <v>813.10897683333326</v>
      </c>
      <c r="M84" s="175">
        <f t="shared" si="34"/>
        <v>79.695538461538462</v>
      </c>
      <c r="N84" s="175">
        <f t="shared" si="34"/>
        <v>813.10897683333326</v>
      </c>
      <c r="O84" s="175">
        <f t="shared" si="34"/>
        <v>39.847769230769231</v>
      </c>
      <c r="P84" s="175">
        <f t="shared" si="34"/>
        <v>0</v>
      </c>
      <c r="Q84" s="175">
        <f t="shared" si="34"/>
        <v>0</v>
      </c>
      <c r="R84" s="103"/>
      <c r="Y84" s="103"/>
      <c r="Z84" s="103"/>
      <c r="AA84" s="103"/>
      <c r="AB84" s="103"/>
      <c r="AC84" s="103"/>
      <c r="AD84" s="103"/>
      <c r="AE84" s="103"/>
      <c r="AF84" s="103"/>
      <c r="AG84" s="103"/>
      <c r="AH84" s="103"/>
      <c r="AI84" s="103"/>
      <c r="AJ84" s="103"/>
      <c r="AK84" s="103"/>
      <c r="AL84" s="103"/>
      <c r="AM84" s="103"/>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03"/>
      <c r="BR84" s="103"/>
    </row>
    <row r="85" spans="1:86" ht="27.95" customHeight="1" x14ac:dyDescent="0.3">
      <c r="A85" s="59"/>
      <c r="B85" s="151" t="s">
        <v>120</v>
      </c>
      <c r="C85" s="151" t="s">
        <v>119</v>
      </c>
      <c r="D85" s="151" t="str">
        <f>+VLOOKUP($C85,$C$10:$D$42,2,FALSE)</f>
        <v>USD</v>
      </c>
      <c r="E85" s="151" t="s">
        <v>89</v>
      </c>
      <c r="F85" s="196">
        <v>0</v>
      </c>
      <c r="G85" s="196">
        <v>79.695538461538462</v>
      </c>
      <c r="H85" s="196">
        <v>0</v>
      </c>
      <c r="I85" s="196">
        <v>79.695538461538462</v>
      </c>
      <c r="J85" s="196">
        <v>0</v>
      </c>
      <c r="K85" s="196">
        <v>79.695538461538462</v>
      </c>
      <c r="L85" s="196">
        <v>0</v>
      </c>
      <c r="M85" s="196">
        <v>79.695538461538462</v>
      </c>
      <c r="N85" s="196">
        <v>0</v>
      </c>
      <c r="O85" s="196">
        <v>39.847769230769231</v>
      </c>
      <c r="P85" s="196">
        <v>0</v>
      </c>
      <c r="Q85" s="196">
        <v>0</v>
      </c>
      <c r="S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F85" s="68"/>
      <c r="BG85" s="68"/>
      <c r="BH85" s="68"/>
      <c r="BI85" s="68"/>
      <c r="BJ85" s="68"/>
      <c r="BK85" s="68"/>
      <c r="BL85" s="68"/>
      <c r="BM85" s="68"/>
      <c r="BN85" s="68"/>
      <c r="BO85" s="68"/>
      <c r="BP85" s="68"/>
      <c r="BQ85" s="68"/>
      <c r="BR85" s="68"/>
    </row>
    <row r="86" spans="1:86" ht="27.95" customHeight="1" x14ac:dyDescent="0.3">
      <c r="A86" s="59"/>
      <c r="B86" s="151" t="s">
        <v>250</v>
      </c>
      <c r="C86" s="151" t="s">
        <v>261</v>
      </c>
      <c r="D86" s="151" t="s">
        <v>2</v>
      </c>
      <c r="E86" s="151" t="s">
        <v>89</v>
      </c>
      <c r="F86" s="196">
        <v>0</v>
      </c>
      <c r="G86" s="196">
        <v>0</v>
      </c>
      <c r="H86" s="196">
        <v>32952.029000000002</v>
      </c>
      <c r="I86" s="196">
        <v>0</v>
      </c>
      <c r="J86" s="196">
        <v>0</v>
      </c>
      <c r="K86" s="196">
        <v>0</v>
      </c>
      <c r="L86" s="196">
        <v>0</v>
      </c>
      <c r="M86" s="196">
        <v>0</v>
      </c>
      <c r="N86" s="196">
        <v>0</v>
      </c>
      <c r="O86" s="196">
        <v>0</v>
      </c>
      <c r="P86" s="196">
        <v>0</v>
      </c>
      <c r="Q86" s="196">
        <v>0</v>
      </c>
      <c r="S86" s="68"/>
      <c r="Y86" s="68"/>
      <c r="Z86" s="68"/>
      <c r="AA86" s="68"/>
      <c r="AB86" s="68"/>
      <c r="AC86" s="68"/>
      <c r="AD86" s="68"/>
      <c r="AE86" s="68"/>
      <c r="AF86" s="68"/>
      <c r="AG86" s="68"/>
      <c r="AH86" s="68"/>
      <c r="AI86" s="68"/>
      <c r="AJ86" s="68"/>
      <c r="AK86" s="68"/>
      <c r="AL86" s="68"/>
      <c r="AM86" s="68"/>
      <c r="AN86" s="68"/>
      <c r="AO86" s="68"/>
      <c r="AP86" s="68"/>
      <c r="AQ86" s="68"/>
      <c r="AR86" s="68"/>
      <c r="AS86" s="68"/>
      <c r="AT86" s="68"/>
      <c r="AU86" s="68"/>
      <c r="AV86" s="68"/>
      <c r="AW86" s="68"/>
      <c r="AX86" s="68"/>
      <c r="AY86" s="68"/>
      <c r="AZ86" s="68"/>
      <c r="BA86" s="68"/>
      <c r="BB86" s="68"/>
      <c r="BC86" s="68"/>
      <c r="BD86" s="68"/>
      <c r="BE86" s="68"/>
      <c r="BF86" s="68"/>
      <c r="BG86" s="68"/>
      <c r="BH86" s="68"/>
      <c r="BI86" s="68"/>
      <c r="BJ86" s="68"/>
      <c r="BK86" s="68"/>
      <c r="BL86" s="68"/>
      <c r="BM86" s="68"/>
      <c r="BN86" s="68"/>
      <c r="BO86" s="68"/>
      <c r="BP86" s="68"/>
      <c r="BQ86" s="68"/>
      <c r="BR86" s="68"/>
    </row>
    <row r="87" spans="1:86" ht="27.95" customHeight="1" x14ac:dyDescent="0.3">
      <c r="A87" s="59"/>
      <c r="B87" s="151" t="s">
        <v>251</v>
      </c>
      <c r="C87" s="151" t="s">
        <v>262</v>
      </c>
      <c r="D87" s="151" t="s">
        <v>2</v>
      </c>
      <c r="E87" s="151" t="s">
        <v>89</v>
      </c>
      <c r="F87" s="196">
        <v>0</v>
      </c>
      <c r="G87" s="196">
        <v>0</v>
      </c>
      <c r="H87" s="196">
        <v>23820</v>
      </c>
      <c r="I87" s="196">
        <v>0</v>
      </c>
      <c r="J87" s="196">
        <v>0</v>
      </c>
      <c r="K87" s="196">
        <v>0</v>
      </c>
      <c r="L87" s="196">
        <v>0</v>
      </c>
      <c r="M87" s="196">
        <v>0</v>
      </c>
      <c r="N87" s="196">
        <v>0</v>
      </c>
      <c r="O87" s="196">
        <v>0</v>
      </c>
      <c r="P87" s="196">
        <v>0</v>
      </c>
      <c r="Q87" s="196">
        <v>0</v>
      </c>
      <c r="S87" s="68"/>
      <c r="Y87" s="68"/>
      <c r="Z87" s="68"/>
      <c r="AA87" s="68"/>
      <c r="AB87" s="68"/>
      <c r="AC87" s="68"/>
      <c r="AD87" s="68"/>
      <c r="AE87" s="68"/>
      <c r="AF87" s="68"/>
      <c r="AG87" s="68"/>
      <c r="AH87" s="68"/>
      <c r="AI87" s="68"/>
      <c r="AJ87" s="68"/>
      <c r="AK87" s="68"/>
      <c r="AL87" s="68"/>
      <c r="AM87" s="68"/>
      <c r="AN87" s="68"/>
      <c r="AO87" s="68"/>
      <c r="AP87" s="68"/>
      <c r="AQ87" s="68"/>
      <c r="AR87" s="68"/>
      <c r="AS87" s="68"/>
      <c r="AT87" s="68"/>
      <c r="AU87" s="68"/>
      <c r="AV87" s="68"/>
      <c r="AW87" s="68"/>
      <c r="AX87" s="68"/>
      <c r="AY87" s="68"/>
      <c r="AZ87" s="68"/>
      <c r="BA87" s="68"/>
      <c r="BB87" s="68"/>
      <c r="BC87" s="68"/>
      <c r="BD87" s="68"/>
      <c r="BE87" s="68"/>
      <c r="BF87" s="68"/>
      <c r="BG87" s="68"/>
      <c r="BH87" s="68"/>
      <c r="BI87" s="68"/>
      <c r="BJ87" s="68"/>
      <c r="BK87" s="68"/>
      <c r="BL87" s="68"/>
      <c r="BM87" s="68"/>
      <c r="BN87" s="68"/>
      <c r="BO87" s="68"/>
      <c r="BP87" s="68"/>
      <c r="BQ87" s="68"/>
      <c r="BR87" s="68"/>
    </row>
    <row r="88" spans="1:86" ht="27.95" customHeight="1" x14ac:dyDescent="0.3">
      <c r="A88" s="59"/>
      <c r="B88" s="151" t="s">
        <v>223</v>
      </c>
      <c r="C88" s="151" t="s">
        <v>225</v>
      </c>
      <c r="D88" s="151" t="s">
        <v>227</v>
      </c>
      <c r="E88" s="151" t="s">
        <v>89</v>
      </c>
      <c r="F88" s="196">
        <v>37314.775999999998</v>
      </c>
      <c r="G88" s="196">
        <v>0</v>
      </c>
      <c r="H88" s="196">
        <v>0</v>
      </c>
      <c r="I88" s="196">
        <v>0</v>
      </c>
      <c r="J88" s="196">
        <v>0</v>
      </c>
      <c r="K88" s="196">
        <v>0</v>
      </c>
      <c r="L88" s="196">
        <v>0</v>
      </c>
      <c r="M88" s="196">
        <v>0</v>
      </c>
      <c r="N88" s="196">
        <v>0</v>
      </c>
      <c r="O88" s="196">
        <v>0</v>
      </c>
      <c r="P88" s="196">
        <v>0</v>
      </c>
      <c r="Q88" s="196">
        <v>0</v>
      </c>
      <c r="R88" s="68"/>
      <c r="Y88" s="68"/>
      <c r="Z88" s="68"/>
      <c r="AA88" s="68"/>
      <c r="AB88" s="68"/>
      <c r="AC88" s="68"/>
      <c r="AD88" s="68"/>
      <c r="AE88" s="68"/>
      <c r="AF88" s="68"/>
      <c r="AG88" s="68"/>
      <c r="AH88" s="68"/>
      <c r="AI88" s="68"/>
      <c r="AJ88" s="68"/>
      <c r="AK88" s="68"/>
      <c r="AL88" s="68"/>
      <c r="AM88" s="68"/>
      <c r="AN88" s="68"/>
      <c r="AO88" s="68"/>
      <c r="AP88" s="68"/>
      <c r="AQ88" s="68"/>
      <c r="AR88" s="68"/>
      <c r="AS88" s="68"/>
      <c r="AT88" s="68"/>
      <c r="AU88" s="68"/>
      <c r="AV88" s="68"/>
      <c r="AW88" s="68"/>
      <c r="AX88" s="68"/>
      <c r="AY88" s="68"/>
      <c r="AZ88" s="68"/>
      <c r="BA88" s="68"/>
      <c r="BB88" s="68"/>
      <c r="BC88" s="68"/>
      <c r="BD88" s="68"/>
      <c r="BE88" s="68"/>
      <c r="BF88" s="68"/>
      <c r="BG88" s="68"/>
      <c r="BH88" s="68"/>
      <c r="BI88" s="68"/>
      <c r="BJ88" s="68"/>
      <c r="BK88" s="68"/>
      <c r="BL88" s="68"/>
      <c r="BM88" s="68"/>
      <c r="BN88" s="68"/>
      <c r="BO88" s="68"/>
      <c r="BP88" s="68"/>
      <c r="BQ88" s="68"/>
      <c r="BR88" s="68"/>
    </row>
    <row r="89" spans="1:86" ht="27.95" customHeight="1" x14ac:dyDescent="0.3">
      <c r="A89" s="59"/>
      <c r="B89" s="151" t="s">
        <v>224</v>
      </c>
      <c r="C89" s="151" t="s">
        <v>226</v>
      </c>
      <c r="D89" s="151" t="s">
        <v>227</v>
      </c>
      <c r="E89" s="151" t="s">
        <v>89</v>
      </c>
      <c r="F89" s="196">
        <v>0</v>
      </c>
      <c r="G89" s="196">
        <v>0</v>
      </c>
      <c r="H89" s="196">
        <v>13701.301332839999</v>
      </c>
      <c r="I89" s="196">
        <v>0</v>
      </c>
      <c r="J89" s="196">
        <v>6852.7060671600002</v>
      </c>
      <c r="K89" s="196">
        <v>0</v>
      </c>
      <c r="L89" s="196">
        <v>0</v>
      </c>
      <c r="M89" s="196">
        <v>0</v>
      </c>
      <c r="N89" s="196">
        <v>0</v>
      </c>
      <c r="O89" s="196">
        <v>0</v>
      </c>
      <c r="P89" s="196">
        <v>0</v>
      </c>
      <c r="Q89" s="196">
        <v>0</v>
      </c>
      <c r="R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row>
    <row r="90" spans="1:86" ht="27.95" customHeight="1" x14ac:dyDescent="0.3">
      <c r="A90" s="59"/>
      <c r="B90" s="151" t="s">
        <v>129</v>
      </c>
      <c r="C90" s="151" t="s">
        <v>130</v>
      </c>
      <c r="D90" s="151" t="s">
        <v>2</v>
      </c>
      <c r="E90" s="151" t="s">
        <v>89</v>
      </c>
      <c r="F90" s="196">
        <v>406.55448841666663</v>
      </c>
      <c r="G90" s="196">
        <v>0</v>
      </c>
      <c r="H90" s="196">
        <v>813.10897683333326</v>
      </c>
      <c r="I90" s="196">
        <v>0</v>
      </c>
      <c r="J90" s="196">
        <v>813.10897683333326</v>
      </c>
      <c r="K90" s="196">
        <v>0</v>
      </c>
      <c r="L90" s="196">
        <v>813.10897683333326</v>
      </c>
      <c r="M90" s="196">
        <v>0</v>
      </c>
      <c r="N90" s="196">
        <v>813.10897683333326</v>
      </c>
      <c r="O90" s="196">
        <v>0</v>
      </c>
      <c r="P90" s="196">
        <v>0</v>
      </c>
      <c r="Q90" s="196">
        <v>0</v>
      </c>
      <c r="R90" s="68"/>
      <c r="Y90" s="68"/>
      <c r="Z90" s="68"/>
      <c r="AA90" s="68"/>
      <c r="AB90" s="68"/>
      <c r="AC90" s="68"/>
      <c r="AD90" s="68"/>
      <c r="AE90" s="68"/>
      <c r="AF90" s="68"/>
      <c r="AG90" s="68"/>
      <c r="AH90" s="68"/>
      <c r="AI90" s="68"/>
      <c r="AJ90" s="68"/>
      <c r="AK90" s="68"/>
      <c r="AL90" s="68"/>
      <c r="AM90" s="68"/>
      <c r="AN90" s="68"/>
      <c r="AO90" s="68"/>
      <c r="AP90" s="68"/>
      <c r="AQ90" s="68"/>
      <c r="AR90" s="68"/>
      <c r="AS90" s="68"/>
      <c r="AT90" s="68"/>
      <c r="AU90" s="68"/>
      <c r="AV90" s="68"/>
      <c r="AW90" s="68"/>
      <c r="AX90" s="68"/>
      <c r="AY90" s="68"/>
      <c r="AZ90" s="68"/>
      <c r="BA90" s="68"/>
      <c r="BB90" s="68"/>
      <c r="BC90" s="68"/>
      <c r="BD90" s="68"/>
      <c r="BE90" s="68"/>
      <c r="BF90" s="68"/>
      <c r="BG90" s="68"/>
      <c r="BH90" s="68"/>
      <c r="BI90" s="68"/>
      <c r="BJ90" s="68"/>
      <c r="BK90" s="68"/>
      <c r="BL90" s="68"/>
      <c r="BM90" s="68"/>
      <c r="BN90" s="68"/>
      <c r="BO90" s="68"/>
      <c r="BP90" s="68"/>
      <c r="BQ90" s="68"/>
      <c r="BR90" s="68"/>
    </row>
    <row r="91" spans="1:86" ht="27.95" customHeight="1" x14ac:dyDescent="0.3">
      <c r="A91" s="59"/>
      <c r="B91" s="151" t="s">
        <v>157</v>
      </c>
      <c r="C91" s="151" t="s">
        <v>158</v>
      </c>
      <c r="D91" s="151" t="s">
        <v>2</v>
      </c>
      <c r="E91" s="151" t="s">
        <v>89</v>
      </c>
      <c r="F91" s="196">
        <v>2017.5</v>
      </c>
      <c r="G91" s="196">
        <v>0</v>
      </c>
      <c r="H91" s="196">
        <v>0</v>
      </c>
      <c r="I91" s="196">
        <v>0</v>
      </c>
      <c r="J91" s="196">
        <v>0</v>
      </c>
      <c r="K91" s="196">
        <v>0</v>
      </c>
      <c r="L91" s="196">
        <v>0</v>
      </c>
      <c r="M91" s="196">
        <v>0</v>
      </c>
      <c r="N91" s="196">
        <v>0</v>
      </c>
      <c r="O91" s="196">
        <v>0</v>
      </c>
      <c r="P91" s="196">
        <v>0</v>
      </c>
      <c r="Q91" s="196">
        <v>0</v>
      </c>
      <c r="R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row>
    <row r="92" spans="1:86" ht="27.95" customHeight="1" x14ac:dyDescent="0.3">
      <c r="A92" s="59"/>
      <c r="B92" s="151" t="s">
        <v>124</v>
      </c>
      <c r="C92" s="151" t="s">
        <v>125</v>
      </c>
      <c r="D92" s="151" t="s">
        <v>2</v>
      </c>
      <c r="E92" s="151" t="s">
        <v>89</v>
      </c>
      <c r="F92" s="196">
        <v>403.84615384615387</v>
      </c>
      <c r="G92" s="196">
        <v>0</v>
      </c>
      <c r="H92" s="196">
        <v>0</v>
      </c>
      <c r="I92" s="196">
        <v>0</v>
      </c>
      <c r="J92" s="196">
        <v>0</v>
      </c>
      <c r="K92" s="196">
        <v>0</v>
      </c>
      <c r="L92" s="196">
        <v>0</v>
      </c>
      <c r="M92" s="196">
        <v>0</v>
      </c>
      <c r="N92" s="196">
        <v>0</v>
      </c>
      <c r="O92" s="196">
        <v>0</v>
      </c>
      <c r="P92" s="196">
        <v>0</v>
      </c>
      <c r="Q92" s="196">
        <v>0</v>
      </c>
      <c r="R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row>
    <row r="93" spans="1:86" ht="27.95" customHeight="1" x14ac:dyDescent="0.3">
      <c r="A93" s="59"/>
      <c r="B93" s="151" t="s">
        <v>32</v>
      </c>
      <c r="C93" s="151" t="s">
        <v>33</v>
      </c>
      <c r="D93" s="151" t="s">
        <v>2</v>
      </c>
      <c r="E93" s="151" t="s">
        <v>89</v>
      </c>
      <c r="F93" s="196">
        <v>7.0597352879999997</v>
      </c>
      <c r="G93" s="196">
        <v>0</v>
      </c>
      <c r="H93" s="196">
        <v>0</v>
      </c>
      <c r="I93" s="196">
        <v>0</v>
      </c>
      <c r="J93" s="196">
        <v>0</v>
      </c>
      <c r="K93" s="196">
        <v>0</v>
      </c>
      <c r="L93" s="196">
        <v>0</v>
      </c>
      <c r="M93" s="196">
        <v>0</v>
      </c>
      <c r="N93" s="196">
        <v>0</v>
      </c>
      <c r="O93" s="196">
        <v>0</v>
      </c>
      <c r="P93" s="196">
        <v>0</v>
      </c>
      <c r="Q93" s="196">
        <v>0</v>
      </c>
      <c r="R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c r="AW93" s="68"/>
      <c r="AX93" s="68"/>
      <c r="AY93" s="68"/>
      <c r="AZ93" s="68"/>
      <c r="BA93" s="68"/>
      <c r="BB93" s="68"/>
      <c r="BC93" s="68"/>
      <c r="BD93" s="68"/>
      <c r="BE93" s="68"/>
      <c r="BF93" s="68"/>
      <c r="BG93" s="68"/>
      <c r="BH93" s="68"/>
      <c r="BI93" s="68"/>
      <c r="BJ93" s="68"/>
      <c r="BK93" s="68"/>
      <c r="BL93" s="68"/>
      <c r="BM93" s="68"/>
      <c r="BN93" s="68"/>
      <c r="BO93" s="68"/>
      <c r="BP93" s="68"/>
      <c r="BQ93" s="68"/>
      <c r="BR93" s="68"/>
    </row>
    <row r="94" spans="1:86" ht="6.75" customHeight="1" x14ac:dyDescent="0.3">
      <c r="B94" s="14"/>
      <c r="C94" s="12"/>
      <c r="D94" s="12"/>
      <c r="E94" s="29"/>
      <c r="F94" s="29"/>
      <c r="G94" s="29"/>
      <c r="H94" s="29"/>
      <c r="I94" s="29"/>
      <c r="J94" s="29"/>
      <c r="K94" s="29"/>
      <c r="L94" s="29"/>
      <c r="M94" s="29"/>
      <c r="N94" s="29"/>
      <c r="O94" s="29"/>
      <c r="P94" s="29"/>
      <c r="Q94" s="29"/>
      <c r="R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row>
    <row r="95" spans="1:86" ht="29.25" customHeight="1" x14ac:dyDescent="0.3">
      <c r="B95" s="290" t="s">
        <v>34</v>
      </c>
      <c r="C95" s="291"/>
      <c r="D95" s="291"/>
      <c r="E95" s="292"/>
      <c r="F95" s="175">
        <f t="shared" ref="F95:Q95" si="35">+F84+F68+F65+F60</f>
        <v>45952.702007692766</v>
      </c>
      <c r="G95" s="175">
        <f t="shared" si="35"/>
        <v>97.944727691720786</v>
      </c>
      <c r="H95" s="175">
        <f t="shared" si="35"/>
        <v>82479.700773650649</v>
      </c>
      <c r="I95" s="175">
        <f t="shared" si="35"/>
        <v>93.588200038435261</v>
      </c>
      <c r="J95" s="175">
        <f t="shared" si="35"/>
        <v>16299.200435718163</v>
      </c>
      <c r="K95" s="175">
        <f t="shared" si="35"/>
        <v>93.588532118435253</v>
      </c>
      <c r="L95" s="175">
        <f t="shared" si="35"/>
        <v>7651.9185476981656</v>
      </c>
      <c r="M95" s="175">
        <f t="shared" si="35"/>
        <v>93.588868168435255</v>
      </c>
      <c r="N95" s="175">
        <f t="shared" si="35"/>
        <v>1011.4741032537194</v>
      </c>
      <c r="O95" s="175">
        <f t="shared" si="35"/>
        <v>53.741438997666023</v>
      </c>
      <c r="P95" s="175">
        <f t="shared" si="35"/>
        <v>185.96730601911199</v>
      </c>
      <c r="Q95" s="175">
        <f t="shared" si="35"/>
        <v>10.326127043125618</v>
      </c>
      <c r="R95" s="103"/>
      <c r="Y95" s="103"/>
      <c r="Z95" s="103"/>
      <c r="AA95" s="103"/>
      <c r="AB95" s="103"/>
      <c r="AC95" s="103"/>
      <c r="AD95" s="103"/>
      <c r="AE95" s="103"/>
      <c r="AF95" s="103"/>
      <c r="AG95" s="103"/>
      <c r="AH95" s="103"/>
      <c r="AI95" s="103"/>
      <c r="AJ95" s="103"/>
      <c r="AK95" s="103"/>
      <c r="AL95" s="103"/>
      <c r="AM95" s="103"/>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3"/>
      <c r="BR95" s="103"/>
    </row>
    <row r="96" spans="1:86" x14ac:dyDescent="0.3">
      <c r="B96" s="34"/>
      <c r="C96" s="34"/>
      <c r="D96" s="34"/>
      <c r="E96" s="83"/>
      <c r="F96" s="245"/>
      <c r="G96" s="245"/>
      <c r="H96" s="245"/>
      <c r="I96" s="245"/>
      <c r="J96" s="245"/>
      <c r="K96" s="245"/>
      <c r="L96" s="245"/>
      <c r="M96" s="245"/>
      <c r="N96" s="245"/>
      <c r="O96" s="245"/>
      <c r="P96" s="245"/>
      <c r="Q96" s="245"/>
      <c r="R96" s="245"/>
      <c r="S96" s="245"/>
      <c r="T96" s="246"/>
      <c r="U96" s="246"/>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row>
    <row r="97" spans="1:70" x14ac:dyDescent="0.3">
      <c r="B97" s="35"/>
      <c r="C97" s="35"/>
      <c r="D97" s="35"/>
      <c r="E97" s="35"/>
      <c r="F97" s="247"/>
      <c r="G97" s="247"/>
      <c r="H97" s="247"/>
      <c r="I97" s="247"/>
      <c r="J97" s="247"/>
      <c r="K97" s="247"/>
      <c r="L97" s="247"/>
      <c r="M97" s="247"/>
      <c r="N97" s="247"/>
      <c r="O97" s="247"/>
      <c r="P97" s="247"/>
      <c r="Q97" s="247"/>
      <c r="R97" s="247"/>
      <c r="S97" s="247"/>
      <c r="T97" s="248"/>
      <c r="U97" s="248"/>
      <c r="V97" s="35"/>
      <c r="W97" s="35"/>
      <c r="X97" s="35"/>
      <c r="Y97" s="35"/>
      <c r="Z97" s="35"/>
    </row>
    <row r="98" spans="1:70" x14ac:dyDescent="0.3">
      <c r="B98" s="35"/>
      <c r="C98" s="35"/>
      <c r="D98" s="35"/>
      <c r="E98" s="35"/>
      <c r="F98" s="135"/>
      <c r="G98" s="35"/>
      <c r="H98" s="35"/>
      <c r="I98" s="35"/>
      <c r="J98" s="35"/>
      <c r="K98" s="35"/>
      <c r="L98" s="35"/>
      <c r="M98" s="35"/>
      <c r="N98" s="35"/>
      <c r="O98" s="35"/>
      <c r="P98" s="35"/>
      <c r="Q98" s="35"/>
      <c r="R98" s="35"/>
      <c r="S98" s="35"/>
      <c r="T98" s="35"/>
      <c r="U98" s="35"/>
      <c r="V98" s="35"/>
      <c r="W98" s="35"/>
      <c r="X98" s="35"/>
      <c r="Y98" s="35"/>
      <c r="Z98" s="35"/>
    </row>
    <row r="99" spans="1:70" ht="20.25" x14ac:dyDescent="0.3">
      <c r="B99" s="289" t="s">
        <v>41</v>
      </c>
      <c r="C99" s="289"/>
      <c r="D99" s="289"/>
      <c r="E99" s="289"/>
      <c r="F99" s="289"/>
      <c r="G99" s="289"/>
      <c r="H99" s="289"/>
      <c r="I99" s="289"/>
      <c r="J99" s="289"/>
      <c r="K99" s="289"/>
      <c r="L99" s="289"/>
      <c r="M99" s="289"/>
      <c r="N99" s="289"/>
      <c r="O99" s="289"/>
      <c r="P99" s="289"/>
      <c r="Q99" s="289"/>
      <c r="R99" s="289"/>
      <c r="S99" s="289"/>
      <c r="T99" s="289"/>
      <c r="U99" s="289"/>
    </row>
    <row r="100" spans="1:70" ht="17.25" x14ac:dyDescent="0.3">
      <c r="B100" s="158" t="s">
        <v>44</v>
      </c>
      <c r="C100" s="2"/>
      <c r="D100" s="2"/>
      <c r="E100" s="2"/>
      <c r="F100" s="131"/>
      <c r="G100" s="2"/>
      <c r="H100" s="2"/>
      <c r="I100" s="2"/>
      <c r="J100" s="2"/>
      <c r="K100" s="2"/>
      <c r="L100" s="2"/>
      <c r="M100" s="2"/>
      <c r="N100" s="2"/>
      <c r="O100" s="2"/>
      <c r="P100" s="2"/>
      <c r="Q100" s="2"/>
      <c r="R100" s="1"/>
    </row>
    <row r="101" spans="1:70" x14ac:dyDescent="0.3">
      <c r="G101" s="133"/>
      <c r="H101" s="133"/>
      <c r="I101" s="133"/>
      <c r="J101" s="133"/>
      <c r="K101" s="133"/>
      <c r="L101" s="133"/>
      <c r="M101" s="133"/>
      <c r="N101" s="133"/>
      <c r="O101" s="133"/>
      <c r="P101" s="133"/>
      <c r="Q101" s="133"/>
      <c r="R101" s="133"/>
      <c r="S101" s="133"/>
    </row>
    <row r="102" spans="1:70" ht="32.25" customHeight="1" x14ac:dyDescent="0.3">
      <c r="F102" s="172">
        <v>2025</v>
      </c>
      <c r="G102" s="172">
        <v>2025</v>
      </c>
      <c r="H102" s="172">
        <v>2026</v>
      </c>
      <c r="I102" s="172">
        <v>2026</v>
      </c>
      <c r="J102" s="172">
        <v>2027</v>
      </c>
      <c r="K102" s="172">
        <v>2027</v>
      </c>
      <c r="L102" s="172">
        <v>2028</v>
      </c>
      <c r="M102" s="172">
        <v>2028</v>
      </c>
      <c r="N102" s="172">
        <v>2029</v>
      </c>
      <c r="O102" s="172">
        <v>2029</v>
      </c>
      <c r="P102" s="173" t="s">
        <v>162</v>
      </c>
      <c r="Q102" s="173" t="s">
        <v>162</v>
      </c>
      <c r="S102" s="101"/>
      <c r="Y102" s="102"/>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row>
    <row r="103" spans="1:70" ht="33.75" customHeight="1" x14ac:dyDescent="0.3">
      <c r="B103" s="159" t="s">
        <v>0</v>
      </c>
      <c r="C103" s="159" t="s">
        <v>1</v>
      </c>
      <c r="D103" s="160" t="s">
        <v>127</v>
      </c>
      <c r="E103" s="160" t="s">
        <v>91</v>
      </c>
      <c r="F103" s="159" t="s">
        <v>2</v>
      </c>
      <c r="G103" s="174" t="s">
        <v>95</v>
      </c>
      <c r="H103" s="159" t="s">
        <v>2</v>
      </c>
      <c r="I103" s="174" t="s">
        <v>95</v>
      </c>
      <c r="J103" s="159" t="s">
        <v>2</v>
      </c>
      <c r="K103" s="174" t="s">
        <v>95</v>
      </c>
      <c r="L103" s="159" t="s">
        <v>2</v>
      </c>
      <c r="M103" s="174" t="s">
        <v>95</v>
      </c>
      <c r="N103" s="159" t="s">
        <v>2</v>
      </c>
      <c r="O103" s="174" t="s">
        <v>95</v>
      </c>
      <c r="P103" s="159" t="s">
        <v>2</v>
      </c>
      <c r="Q103" s="174" t="s">
        <v>95</v>
      </c>
      <c r="S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row>
    <row r="104" spans="1:70" ht="27.95" customHeight="1" x14ac:dyDescent="0.3">
      <c r="B104" s="162" t="s">
        <v>85</v>
      </c>
      <c r="C104" s="162"/>
      <c r="D104" s="162"/>
      <c r="E104" s="162"/>
      <c r="F104" s="175">
        <f t="shared" ref="F104:Q104" si="36">+SUM(F105:F108)</f>
        <v>157.09253003089154</v>
      </c>
      <c r="G104" s="175">
        <f t="shared" si="36"/>
        <v>0</v>
      </c>
      <c r="H104" s="175">
        <f t="shared" si="36"/>
        <v>120.57073470957029</v>
      </c>
      <c r="I104" s="175">
        <f t="shared" si="36"/>
        <v>0</v>
      </c>
      <c r="J104" s="175">
        <f t="shared" si="36"/>
        <v>96.58499145752107</v>
      </c>
      <c r="K104" s="175">
        <f t="shared" si="36"/>
        <v>0</v>
      </c>
      <c r="L104" s="175">
        <f t="shared" si="36"/>
        <v>79.815870198670524</v>
      </c>
      <c r="M104" s="175">
        <f t="shared" si="36"/>
        <v>0</v>
      </c>
      <c r="N104" s="175">
        <f t="shared" si="36"/>
        <v>64.086252826446469</v>
      </c>
      <c r="O104" s="175">
        <f t="shared" si="36"/>
        <v>0</v>
      </c>
      <c r="P104" s="175">
        <f t="shared" si="36"/>
        <v>26.843257538050434</v>
      </c>
      <c r="Q104" s="175">
        <f t="shared" si="36"/>
        <v>0</v>
      </c>
      <c r="S104" s="103"/>
      <c r="Y104" s="103"/>
      <c r="Z104" s="103"/>
      <c r="AA104" s="103"/>
      <c r="AB104" s="103"/>
      <c r="AC104" s="103"/>
      <c r="AD104" s="103"/>
      <c r="AE104" s="103"/>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103"/>
      <c r="BE104" s="103"/>
      <c r="BF104" s="103"/>
      <c r="BG104" s="103"/>
      <c r="BH104" s="103"/>
      <c r="BI104" s="103"/>
      <c r="BJ104" s="103"/>
      <c r="BK104" s="103"/>
      <c r="BL104" s="103"/>
      <c r="BM104" s="103"/>
      <c r="BN104" s="103"/>
      <c r="BO104" s="103"/>
      <c r="BP104" s="103"/>
      <c r="BQ104" s="103"/>
      <c r="BR104" s="103"/>
    </row>
    <row r="105" spans="1:70" ht="27.95" customHeight="1" x14ac:dyDescent="0.3">
      <c r="A105" s="59"/>
      <c r="B105" s="151" t="s">
        <v>179</v>
      </c>
      <c r="C105" s="151" t="s">
        <v>230</v>
      </c>
      <c r="D105" s="151" t="str">
        <f>+VLOOKUP($C105,$C$10:$D$42,2,FALSE)</f>
        <v>Pesos</v>
      </c>
      <c r="E105" s="151" t="s">
        <v>85</v>
      </c>
      <c r="F105" s="196">
        <v>136.94515303578044</v>
      </c>
      <c r="G105" s="196">
        <v>0</v>
      </c>
      <c r="H105" s="196">
        <v>117.8812302823783</v>
      </c>
      <c r="I105" s="196">
        <v>0</v>
      </c>
      <c r="J105" s="196">
        <v>96.58499145752107</v>
      </c>
      <c r="K105" s="196">
        <v>0</v>
      </c>
      <c r="L105" s="196">
        <v>79.815870198670524</v>
      </c>
      <c r="M105" s="196">
        <v>0</v>
      </c>
      <c r="N105" s="196">
        <v>64.086252826446469</v>
      </c>
      <c r="O105" s="196">
        <v>0</v>
      </c>
      <c r="P105" s="196">
        <v>26.843257538050434</v>
      </c>
      <c r="Q105" s="196">
        <v>0</v>
      </c>
      <c r="S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row>
    <row r="106" spans="1:70" ht="27.95" customHeight="1" x14ac:dyDescent="0.3">
      <c r="A106" s="59"/>
      <c r="B106" s="151" t="s">
        <v>3</v>
      </c>
      <c r="C106" s="151" t="s">
        <v>4</v>
      </c>
      <c r="D106" s="151" t="str">
        <f>+VLOOKUP($C106,$C$10:$D$42,2,FALSE)</f>
        <v>Pesos</v>
      </c>
      <c r="E106" s="151" t="s">
        <v>85</v>
      </c>
      <c r="F106" s="196">
        <v>9.3321551728677132</v>
      </c>
      <c r="G106" s="196">
        <v>0</v>
      </c>
      <c r="H106" s="196">
        <v>0.28281446999999998</v>
      </c>
      <c r="I106" s="196">
        <v>0</v>
      </c>
      <c r="J106" s="196">
        <v>0</v>
      </c>
      <c r="K106" s="196">
        <v>0</v>
      </c>
      <c r="L106" s="196">
        <v>0</v>
      </c>
      <c r="M106" s="196">
        <v>0</v>
      </c>
      <c r="N106" s="196">
        <v>0</v>
      </c>
      <c r="O106" s="196">
        <v>0</v>
      </c>
      <c r="P106" s="196">
        <v>0</v>
      </c>
      <c r="Q106" s="196">
        <v>0</v>
      </c>
      <c r="S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8"/>
      <c r="AU106" s="68"/>
      <c r="AV106" s="68"/>
      <c r="AW106" s="68"/>
      <c r="AX106" s="68"/>
      <c r="AY106" s="68"/>
      <c r="AZ106" s="68"/>
      <c r="BA106" s="68"/>
      <c r="BB106" s="68"/>
      <c r="BC106" s="68"/>
      <c r="BD106" s="68"/>
      <c r="BE106" s="68"/>
      <c r="BF106" s="68"/>
      <c r="BG106" s="68"/>
      <c r="BH106" s="68"/>
      <c r="BI106" s="68"/>
      <c r="BJ106" s="68"/>
      <c r="BK106" s="68"/>
      <c r="BL106" s="68"/>
      <c r="BM106" s="68"/>
      <c r="BN106" s="68"/>
      <c r="BO106" s="68"/>
      <c r="BP106" s="68"/>
      <c r="BQ106" s="68"/>
      <c r="BR106" s="68"/>
    </row>
    <row r="107" spans="1:70" ht="27.95" customHeight="1" x14ac:dyDescent="0.3">
      <c r="A107" s="59"/>
      <c r="B107" s="151" t="s">
        <v>5</v>
      </c>
      <c r="C107" s="151" t="s">
        <v>6</v>
      </c>
      <c r="D107" s="151" t="str">
        <f>+VLOOKUP($C107,$C$10:$D$42,2,FALSE)</f>
        <v>Pesos</v>
      </c>
      <c r="E107" s="151" t="s">
        <v>85</v>
      </c>
      <c r="F107" s="196">
        <v>9.9053996600000005</v>
      </c>
      <c r="G107" s="196">
        <v>0</v>
      </c>
      <c r="H107" s="196">
        <v>2.3963973799999994</v>
      </c>
      <c r="I107" s="196">
        <v>0</v>
      </c>
      <c r="J107" s="196">
        <v>0</v>
      </c>
      <c r="K107" s="196">
        <v>0</v>
      </c>
      <c r="L107" s="196">
        <v>0</v>
      </c>
      <c r="M107" s="196">
        <v>0</v>
      </c>
      <c r="N107" s="196">
        <v>0</v>
      </c>
      <c r="O107" s="196">
        <v>0</v>
      </c>
      <c r="P107" s="196">
        <v>0</v>
      </c>
      <c r="Q107" s="196">
        <v>0</v>
      </c>
      <c r="S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68"/>
      <c r="AW107" s="68"/>
      <c r="AX107" s="68"/>
      <c r="AY107" s="68"/>
      <c r="AZ107" s="68"/>
      <c r="BA107" s="68"/>
      <c r="BB107" s="68"/>
      <c r="BC107" s="68"/>
      <c r="BD107" s="68"/>
      <c r="BE107" s="68"/>
      <c r="BF107" s="68"/>
      <c r="BG107" s="68"/>
      <c r="BH107" s="68"/>
      <c r="BI107" s="68"/>
      <c r="BJ107" s="68"/>
      <c r="BK107" s="68"/>
      <c r="BL107" s="68"/>
      <c r="BM107" s="68"/>
      <c r="BN107" s="68"/>
      <c r="BO107" s="68"/>
      <c r="BP107" s="68"/>
      <c r="BQ107" s="68"/>
      <c r="BR107" s="68"/>
    </row>
    <row r="108" spans="1:70" ht="27.95" customHeight="1" x14ac:dyDescent="0.3">
      <c r="A108" s="59"/>
      <c r="B108" s="151" t="s">
        <v>7</v>
      </c>
      <c r="C108" s="151" t="s">
        <v>8</v>
      </c>
      <c r="D108" s="151" t="str">
        <f>+VLOOKUP($C108,$C$10:$D$42,2,FALSE)</f>
        <v>Pesos</v>
      </c>
      <c r="E108" s="151" t="s">
        <v>85</v>
      </c>
      <c r="F108" s="196">
        <v>0.90982216224337353</v>
      </c>
      <c r="G108" s="196">
        <v>0</v>
      </c>
      <c r="H108" s="196">
        <v>1.0292577191995309E-2</v>
      </c>
      <c r="I108" s="196">
        <v>0</v>
      </c>
      <c r="J108" s="196">
        <v>0</v>
      </c>
      <c r="K108" s="196">
        <v>0</v>
      </c>
      <c r="L108" s="196">
        <v>0</v>
      </c>
      <c r="M108" s="196">
        <v>0</v>
      </c>
      <c r="N108" s="196">
        <v>0</v>
      </c>
      <c r="O108" s="196">
        <v>0</v>
      </c>
      <c r="P108" s="196">
        <v>0</v>
      </c>
      <c r="Q108" s="196">
        <v>0</v>
      </c>
      <c r="S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8"/>
      <c r="AU108" s="68"/>
      <c r="AV108" s="68"/>
      <c r="AW108" s="68"/>
      <c r="AX108" s="68"/>
      <c r="AY108" s="68"/>
      <c r="AZ108" s="68"/>
      <c r="BA108" s="68"/>
      <c r="BB108" s="68"/>
      <c r="BC108" s="68"/>
      <c r="BD108" s="68"/>
      <c r="BE108" s="68"/>
      <c r="BF108" s="68"/>
      <c r="BG108" s="68"/>
      <c r="BH108" s="68"/>
      <c r="BI108" s="68"/>
      <c r="BJ108" s="68"/>
      <c r="BK108" s="68"/>
      <c r="BL108" s="68"/>
      <c r="BM108" s="68"/>
      <c r="BN108" s="68"/>
      <c r="BO108" s="68"/>
      <c r="BP108" s="68"/>
      <c r="BQ108" s="68"/>
      <c r="BR108" s="68"/>
    </row>
    <row r="109" spans="1:70" ht="27.95" customHeight="1" x14ac:dyDescent="0.3">
      <c r="A109" s="59"/>
      <c r="B109" s="162" t="s">
        <v>86</v>
      </c>
      <c r="C109" s="162"/>
      <c r="D109" s="162"/>
      <c r="E109" s="162"/>
      <c r="F109" s="175">
        <f>+F111+F110</f>
        <v>9536.4371586670022</v>
      </c>
      <c r="G109" s="175">
        <f t="shared" ref="G109:Q109" si="37">+G111+G110</f>
        <v>0</v>
      </c>
      <c r="H109" s="175">
        <f t="shared" si="37"/>
        <v>7020.4886557534264</v>
      </c>
      <c r="I109" s="175">
        <f t="shared" si="37"/>
        <v>0</v>
      </c>
      <c r="J109" s="175">
        <f t="shared" si="37"/>
        <v>2416.3162163127013</v>
      </c>
      <c r="K109" s="175">
        <f t="shared" si="37"/>
        <v>0</v>
      </c>
      <c r="L109" s="175">
        <f t="shared" si="37"/>
        <v>0</v>
      </c>
      <c r="M109" s="175">
        <f t="shared" si="37"/>
        <v>0</v>
      </c>
      <c r="N109" s="175">
        <f t="shared" si="37"/>
        <v>0</v>
      </c>
      <c r="O109" s="175">
        <f t="shared" si="37"/>
        <v>0</v>
      </c>
      <c r="P109" s="175">
        <f t="shared" si="37"/>
        <v>0</v>
      </c>
      <c r="Q109" s="175">
        <f t="shared" si="37"/>
        <v>0</v>
      </c>
      <c r="S109" s="103"/>
      <c r="Y109" s="103"/>
      <c r="Z109" s="103"/>
      <c r="AA109" s="103"/>
      <c r="AB109" s="103"/>
      <c r="AC109" s="103"/>
      <c r="AD109" s="103"/>
      <c r="AE109" s="103"/>
      <c r="AF109" s="103"/>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103"/>
      <c r="BE109" s="103"/>
      <c r="BF109" s="103"/>
      <c r="BG109" s="103"/>
      <c r="BH109" s="103"/>
      <c r="BI109" s="103"/>
      <c r="BJ109" s="103"/>
      <c r="BK109" s="103"/>
      <c r="BL109" s="103"/>
      <c r="BM109" s="103"/>
      <c r="BN109" s="103"/>
      <c r="BO109" s="103"/>
      <c r="BP109" s="103"/>
      <c r="BQ109" s="103"/>
      <c r="BR109" s="103"/>
    </row>
    <row r="110" spans="1:70" ht="27.95" customHeight="1" x14ac:dyDescent="0.3">
      <c r="A110" s="59"/>
      <c r="B110" s="8" t="s">
        <v>247</v>
      </c>
      <c r="C110" s="8" t="s">
        <v>248</v>
      </c>
      <c r="D110" s="8" t="s">
        <v>2</v>
      </c>
      <c r="E110" s="151" t="s">
        <v>86</v>
      </c>
      <c r="F110" s="196">
        <v>6918.0152166708885</v>
      </c>
      <c r="G110" s="196">
        <v>0</v>
      </c>
      <c r="H110" s="196">
        <v>6075.0632148459181</v>
      </c>
      <c r="I110" s="196">
        <v>0</v>
      </c>
      <c r="J110" s="196">
        <v>2341.851300804964</v>
      </c>
      <c r="K110" s="196">
        <v>0</v>
      </c>
      <c r="L110" s="196">
        <v>0</v>
      </c>
      <c r="M110" s="196">
        <v>0</v>
      </c>
      <c r="N110" s="196">
        <v>0</v>
      </c>
      <c r="O110" s="196">
        <v>0</v>
      </c>
      <c r="P110" s="196">
        <v>0</v>
      </c>
      <c r="Q110" s="196">
        <v>0</v>
      </c>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8"/>
      <c r="AU110" s="68"/>
      <c r="AV110" s="68"/>
      <c r="AW110" s="68"/>
      <c r="AX110" s="68"/>
      <c r="AY110" s="68"/>
      <c r="AZ110" s="68"/>
      <c r="BA110" s="68"/>
      <c r="BB110" s="68"/>
      <c r="BC110" s="68"/>
      <c r="BD110" s="68"/>
      <c r="BE110" s="68"/>
      <c r="BF110" s="68"/>
      <c r="BG110" s="68"/>
      <c r="BH110" s="68"/>
      <c r="BI110" s="68"/>
      <c r="BJ110" s="68"/>
      <c r="BK110" s="68"/>
      <c r="BL110" s="68"/>
      <c r="BM110" s="68"/>
      <c r="BN110" s="68"/>
      <c r="BO110" s="68"/>
      <c r="BP110" s="68"/>
      <c r="BQ110" s="68"/>
      <c r="BR110" s="68"/>
    </row>
    <row r="111" spans="1:70" ht="27.95" customHeight="1" x14ac:dyDescent="0.3">
      <c r="A111" s="59"/>
      <c r="B111" s="151" t="s">
        <v>135</v>
      </c>
      <c r="C111" s="151" t="s">
        <v>136</v>
      </c>
      <c r="D111" s="151" t="str">
        <f>+VLOOKUP($C111,$C$10:$D$42,2,FALSE)</f>
        <v>Pesos</v>
      </c>
      <c r="E111" s="151" t="s">
        <v>86</v>
      </c>
      <c r="F111" s="196">
        <v>2618.4219419961132</v>
      </c>
      <c r="G111" s="196">
        <v>0</v>
      </c>
      <c r="H111" s="196">
        <v>945.42544090750869</v>
      </c>
      <c r="I111" s="196">
        <v>0</v>
      </c>
      <c r="J111" s="196">
        <v>74.464915507737388</v>
      </c>
      <c r="K111" s="196">
        <v>0</v>
      </c>
      <c r="L111" s="196">
        <v>0</v>
      </c>
      <c r="M111" s="196">
        <v>0</v>
      </c>
      <c r="N111" s="196">
        <v>0</v>
      </c>
      <c r="O111" s="196">
        <v>0</v>
      </c>
      <c r="P111" s="196">
        <v>0</v>
      </c>
      <c r="Q111" s="196">
        <v>0</v>
      </c>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c r="BQ111" s="68"/>
      <c r="BR111" s="68"/>
    </row>
    <row r="112" spans="1:70" ht="27.95" customHeight="1" x14ac:dyDescent="0.3">
      <c r="A112" s="59"/>
      <c r="B112" s="162" t="s">
        <v>9</v>
      </c>
      <c r="C112" s="162"/>
      <c r="D112" s="162"/>
      <c r="E112" s="162"/>
      <c r="F112" s="175">
        <f t="shared" ref="F112:Q112" si="38">+F113+F124</f>
        <v>0</v>
      </c>
      <c r="G112" s="175">
        <f t="shared" si="38"/>
        <v>11.812989221448898</v>
      </c>
      <c r="H112" s="175">
        <f t="shared" si="38"/>
        <v>0</v>
      </c>
      <c r="I112" s="175">
        <f t="shared" si="38"/>
        <v>9.0101844012687433</v>
      </c>
      <c r="J112" s="175">
        <f t="shared" si="38"/>
        <v>0</v>
      </c>
      <c r="K112" s="175">
        <f t="shared" si="38"/>
        <v>7.5750854930070037</v>
      </c>
      <c r="L112" s="175">
        <f t="shared" si="38"/>
        <v>0</v>
      </c>
      <c r="M112" s="175">
        <f t="shared" si="38"/>
        <v>6.2659748732569351</v>
      </c>
      <c r="N112" s="175">
        <f t="shared" si="38"/>
        <v>0</v>
      </c>
      <c r="O112" s="175">
        <f t="shared" si="38"/>
        <v>4.8843169846036609</v>
      </c>
      <c r="P112" s="175">
        <f t="shared" si="38"/>
        <v>0</v>
      </c>
      <c r="Q112" s="175">
        <f t="shared" si="38"/>
        <v>2.3771245466274253</v>
      </c>
      <c r="S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3"/>
      <c r="AV112" s="103"/>
      <c r="AW112" s="103"/>
      <c r="AX112" s="103"/>
      <c r="AY112" s="103"/>
      <c r="AZ112" s="103"/>
      <c r="BA112" s="103"/>
      <c r="BB112" s="103"/>
      <c r="BC112" s="103"/>
      <c r="BD112" s="103"/>
      <c r="BE112" s="103"/>
      <c r="BF112" s="103"/>
      <c r="BG112" s="103"/>
      <c r="BH112" s="103"/>
      <c r="BI112" s="103"/>
      <c r="BJ112" s="103"/>
      <c r="BK112" s="103"/>
      <c r="BL112" s="103"/>
      <c r="BM112" s="103"/>
      <c r="BN112" s="103"/>
      <c r="BO112" s="103"/>
      <c r="BP112" s="103"/>
      <c r="BQ112" s="103"/>
      <c r="BR112" s="103"/>
    </row>
    <row r="113" spans="1:70" ht="27.95" customHeight="1" x14ac:dyDescent="0.3">
      <c r="A113" s="59"/>
      <c r="B113" s="167" t="s">
        <v>10</v>
      </c>
      <c r="C113" s="167"/>
      <c r="D113" s="167"/>
      <c r="E113" s="167"/>
      <c r="F113" s="178">
        <f t="shared" ref="F113:Q113" si="39">+SUM(F114:F123)</f>
        <v>0</v>
      </c>
      <c r="G113" s="178">
        <f t="shared" si="39"/>
        <v>10.123066783310851</v>
      </c>
      <c r="H113" s="178">
        <f t="shared" si="39"/>
        <v>0</v>
      </c>
      <c r="I113" s="178">
        <f t="shared" si="39"/>
        <v>7.3239176187144395</v>
      </c>
      <c r="J113" s="178">
        <f t="shared" si="39"/>
        <v>0</v>
      </c>
      <c r="K113" s="178">
        <f t="shared" si="39"/>
        <v>6.1422406816286736</v>
      </c>
      <c r="L113" s="178">
        <f t="shared" si="39"/>
        <v>0</v>
      </c>
      <c r="M113" s="178">
        <f t="shared" si="39"/>
        <v>4.9704314382903858</v>
      </c>
      <c r="N113" s="178">
        <f t="shared" si="39"/>
        <v>0</v>
      </c>
      <c r="O113" s="178">
        <f t="shared" si="39"/>
        <v>3.7113061057342476</v>
      </c>
      <c r="P113" s="178">
        <f t="shared" si="39"/>
        <v>0</v>
      </c>
      <c r="Q113" s="178">
        <f t="shared" si="39"/>
        <v>1.813571223415211</v>
      </c>
      <c r="S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c r="AZ113" s="106"/>
      <c r="BA113" s="106"/>
      <c r="BB113" s="106"/>
      <c r="BC113" s="106"/>
      <c r="BD113" s="106"/>
      <c r="BE113" s="106"/>
      <c r="BF113" s="106"/>
      <c r="BG113" s="106"/>
      <c r="BH113" s="106"/>
      <c r="BI113" s="106"/>
      <c r="BJ113" s="106"/>
      <c r="BK113" s="106"/>
      <c r="BL113" s="106"/>
      <c r="BM113" s="106"/>
      <c r="BN113" s="106"/>
      <c r="BO113" s="106"/>
      <c r="BP113" s="106"/>
      <c r="BQ113" s="106"/>
      <c r="BR113" s="106"/>
    </row>
    <row r="114" spans="1:70" ht="27.95" customHeight="1" x14ac:dyDescent="0.3">
      <c r="A114" s="59"/>
      <c r="B114" s="151" t="s">
        <v>17</v>
      </c>
      <c r="C114" s="151" t="s">
        <v>18</v>
      </c>
      <c r="D114" s="151" t="str">
        <f>+VLOOKUP($C114,$C$10:$D$42,2,FALSE)</f>
        <v>USD</v>
      </c>
      <c r="E114" s="151" t="s">
        <v>88</v>
      </c>
      <c r="F114" s="196">
        <v>0</v>
      </c>
      <c r="G114" s="196">
        <v>2.4246356730604592</v>
      </c>
      <c r="H114" s="196">
        <v>0</v>
      </c>
      <c r="I114" s="196">
        <v>1.8602291526964738</v>
      </c>
      <c r="J114" s="196">
        <v>0</v>
      </c>
      <c r="K114" s="196">
        <v>1.5733730258404282</v>
      </c>
      <c r="L114" s="196">
        <v>0</v>
      </c>
      <c r="M114" s="196">
        <v>1.3164533991280225</v>
      </c>
      <c r="N114" s="196">
        <v>0</v>
      </c>
      <c r="O114" s="196">
        <v>0.97055833619949405</v>
      </c>
      <c r="P114" s="196">
        <v>0</v>
      </c>
      <c r="Q114" s="196">
        <v>0</v>
      </c>
      <c r="S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8"/>
      <c r="AU114" s="68"/>
      <c r="AV114" s="68"/>
      <c r="AW114" s="68"/>
      <c r="AX114" s="68"/>
      <c r="AY114" s="68"/>
      <c r="AZ114" s="68"/>
      <c r="BA114" s="68"/>
      <c r="BB114" s="68"/>
      <c r="BC114" s="68"/>
      <c r="BD114" s="68"/>
      <c r="BE114" s="68"/>
      <c r="BF114" s="68"/>
      <c r="BG114" s="68"/>
      <c r="BH114" s="68"/>
      <c r="BI114" s="68"/>
      <c r="BJ114" s="68"/>
      <c r="BK114" s="68"/>
      <c r="BL114" s="68"/>
      <c r="BM114" s="68"/>
      <c r="BN114" s="68"/>
      <c r="BO114" s="68"/>
      <c r="BP114" s="68"/>
      <c r="BQ114" s="68"/>
      <c r="BR114" s="68"/>
    </row>
    <row r="115" spans="1:70" ht="27.95" customHeight="1" x14ac:dyDescent="0.3">
      <c r="A115" s="59"/>
      <c r="B115" s="151" t="s">
        <v>121</v>
      </c>
      <c r="C115" s="151" t="s">
        <v>122</v>
      </c>
      <c r="D115" s="151" t="str">
        <f>+VLOOKUP($C115,$C$10:$D$42,2,FALSE)</f>
        <v>USD</v>
      </c>
      <c r="E115" s="151" t="s">
        <v>88</v>
      </c>
      <c r="F115" s="196">
        <v>0</v>
      </c>
      <c r="G115" s="196">
        <v>2.2231115768219176</v>
      </c>
      <c r="H115" s="196">
        <v>0</v>
      </c>
      <c r="I115" s="196">
        <v>1.6175034660821916</v>
      </c>
      <c r="J115" s="196">
        <v>0</v>
      </c>
      <c r="K115" s="196">
        <v>1.4008338941917806</v>
      </c>
      <c r="L115" s="196">
        <v>0</v>
      </c>
      <c r="M115" s="196">
        <v>1.1573597224109586</v>
      </c>
      <c r="N115" s="196">
        <v>0</v>
      </c>
      <c r="O115" s="196">
        <v>0.89874413260273933</v>
      </c>
      <c r="P115" s="196">
        <v>0</v>
      </c>
      <c r="Q115" s="196">
        <v>5.6692050019528768E-2</v>
      </c>
      <c r="S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R115" s="68"/>
    </row>
    <row r="116" spans="1:70" ht="27.95" customHeight="1" x14ac:dyDescent="0.3">
      <c r="A116" s="59"/>
      <c r="B116" s="151" t="s">
        <v>11</v>
      </c>
      <c r="C116" s="151" t="s">
        <v>12</v>
      </c>
      <c r="D116" s="151" t="str">
        <f>+VLOOKUP($C116,$C$10:$D$42,2,FALSE)</f>
        <v>USD</v>
      </c>
      <c r="E116" s="151" t="s">
        <v>88</v>
      </c>
      <c r="F116" s="196">
        <v>0</v>
      </c>
      <c r="G116" s="196">
        <v>2.1624101455121525</v>
      </c>
      <c r="H116" s="196">
        <v>0</v>
      </c>
      <c r="I116" s="196">
        <v>1.522988057370634</v>
      </c>
      <c r="J116" s="196">
        <v>0</v>
      </c>
      <c r="K116" s="196">
        <v>1.2665107140437935</v>
      </c>
      <c r="L116" s="196">
        <v>0</v>
      </c>
      <c r="M116" s="196">
        <v>0.98216491787611948</v>
      </c>
      <c r="N116" s="196">
        <v>0</v>
      </c>
      <c r="O116" s="196">
        <v>0.72880511943213833</v>
      </c>
      <c r="P116" s="196">
        <v>0</v>
      </c>
      <c r="Q116" s="196">
        <v>0.60669956302872219</v>
      </c>
      <c r="S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8"/>
      <c r="AU116" s="68"/>
      <c r="AV116" s="68"/>
      <c r="AW116" s="68"/>
      <c r="AX116" s="68"/>
      <c r="AY116" s="68"/>
      <c r="AZ116" s="68"/>
      <c r="BA116" s="68"/>
      <c r="BB116" s="68"/>
      <c r="BC116" s="68"/>
      <c r="BD116" s="68"/>
      <c r="BE116" s="68"/>
      <c r="BF116" s="68"/>
      <c r="BG116" s="68"/>
      <c r="BH116" s="68"/>
      <c r="BI116" s="68"/>
      <c r="BJ116" s="68"/>
      <c r="BK116" s="68"/>
      <c r="BL116" s="68"/>
      <c r="BM116" s="68"/>
      <c r="BN116" s="68"/>
      <c r="BO116" s="68"/>
      <c r="BP116" s="68"/>
      <c r="BQ116" s="68"/>
      <c r="BR116" s="68"/>
    </row>
    <row r="117" spans="1:70" ht="27.95" customHeight="1" x14ac:dyDescent="0.3">
      <c r="A117" s="59"/>
      <c r="B117" s="151" t="s">
        <v>13</v>
      </c>
      <c r="C117" s="151" t="s">
        <v>14</v>
      </c>
      <c r="D117" s="151" t="str">
        <f>+VLOOKUP($C117,$C$10:$D$42,2,FALSE)</f>
        <v>USD</v>
      </c>
      <c r="E117" s="151" t="s">
        <v>88</v>
      </c>
      <c r="F117" s="196">
        <v>0</v>
      </c>
      <c r="G117" s="196">
        <v>1.8018451400000002</v>
      </c>
      <c r="H117" s="196">
        <v>0</v>
      </c>
      <c r="I117" s="196">
        <v>1.2496491099999998</v>
      </c>
      <c r="J117" s="196">
        <v>0</v>
      </c>
      <c r="K117" s="196">
        <v>0.99765535000000005</v>
      </c>
      <c r="L117" s="196">
        <v>0</v>
      </c>
      <c r="M117" s="196">
        <v>0.76037337000000005</v>
      </c>
      <c r="N117" s="196">
        <v>0</v>
      </c>
      <c r="O117" s="196">
        <v>0.52093159</v>
      </c>
      <c r="P117" s="196">
        <v>0</v>
      </c>
      <c r="Q117" s="196">
        <v>0.49278790950297097</v>
      </c>
      <c r="S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8"/>
      <c r="AU117" s="68"/>
      <c r="AV117" s="68"/>
      <c r="AW117" s="68"/>
      <c r="AX117" s="68"/>
      <c r="AY117" s="68"/>
      <c r="AZ117" s="68"/>
      <c r="BA117" s="68"/>
      <c r="BB117" s="68"/>
      <c r="BC117" s="68"/>
      <c r="BD117" s="68"/>
      <c r="BE117" s="68"/>
      <c r="BF117" s="68"/>
      <c r="BG117" s="68"/>
      <c r="BH117" s="68"/>
      <c r="BI117" s="68"/>
      <c r="BJ117" s="68"/>
      <c r="BK117" s="68"/>
      <c r="BL117" s="68"/>
      <c r="BM117" s="68"/>
      <c r="BN117" s="68"/>
      <c r="BO117" s="68"/>
      <c r="BP117" s="68"/>
      <c r="BQ117" s="68"/>
      <c r="BR117" s="68"/>
    </row>
    <row r="118" spans="1:70" ht="27.95" customHeight="1" x14ac:dyDescent="0.3">
      <c r="A118" s="59"/>
      <c r="B118" s="151" t="s">
        <v>21</v>
      </c>
      <c r="C118" s="151" t="s">
        <v>22</v>
      </c>
      <c r="D118" s="151" t="str">
        <f>+VLOOKUP($C118,$C$10:$D$42,2,FALSE)</f>
        <v>USD</v>
      </c>
      <c r="E118" s="151" t="s">
        <v>88</v>
      </c>
      <c r="F118" s="196">
        <v>0</v>
      </c>
      <c r="G118" s="196">
        <v>0.73766258686749953</v>
      </c>
      <c r="H118" s="196">
        <v>0</v>
      </c>
      <c r="I118" s="196">
        <v>0.62810448648252482</v>
      </c>
      <c r="J118" s="196">
        <v>0</v>
      </c>
      <c r="K118" s="196">
        <v>0.53799076453821426</v>
      </c>
      <c r="L118" s="196">
        <v>0</v>
      </c>
      <c r="M118" s="196">
        <v>0.44638722517615392</v>
      </c>
      <c r="N118" s="196">
        <v>0</v>
      </c>
      <c r="O118" s="196">
        <v>0.33749522056148051</v>
      </c>
      <c r="P118" s="196">
        <v>0</v>
      </c>
      <c r="Q118" s="196">
        <v>0.49609950630979943</v>
      </c>
      <c r="S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c r="AW118" s="68"/>
      <c r="AX118" s="68"/>
      <c r="AY118" s="68"/>
      <c r="AZ118" s="68"/>
      <c r="BA118" s="68"/>
      <c r="BB118" s="68"/>
      <c r="BC118" s="68"/>
      <c r="BD118" s="68"/>
      <c r="BE118" s="68"/>
      <c r="BF118" s="68"/>
      <c r="BG118" s="68"/>
      <c r="BH118" s="68"/>
      <c r="BI118" s="68"/>
      <c r="BJ118" s="68"/>
      <c r="BK118" s="68"/>
      <c r="BL118" s="68"/>
      <c r="BM118" s="68"/>
      <c r="BN118" s="68"/>
      <c r="BO118" s="68"/>
      <c r="BP118" s="68"/>
      <c r="BQ118" s="68"/>
      <c r="BR118" s="68"/>
    </row>
    <row r="119" spans="1:70" ht="27.95" customHeight="1" x14ac:dyDescent="0.3">
      <c r="A119" s="59"/>
      <c r="B119" s="151" t="s">
        <v>138</v>
      </c>
      <c r="C119" s="151" t="s">
        <v>204</v>
      </c>
      <c r="D119" s="151" t="s">
        <v>95</v>
      </c>
      <c r="E119" s="151" t="s">
        <v>88</v>
      </c>
      <c r="F119" s="196">
        <v>0</v>
      </c>
      <c r="G119" s="196">
        <v>0.38561258090176237</v>
      </c>
      <c r="H119" s="196">
        <v>0</v>
      </c>
      <c r="I119" s="196">
        <v>0.284573829143208</v>
      </c>
      <c r="J119" s="196">
        <v>0</v>
      </c>
      <c r="K119" s="196">
        <v>0.23847116257781278</v>
      </c>
      <c r="L119" s="196">
        <v>0</v>
      </c>
      <c r="M119" s="196">
        <v>0.21247419626376302</v>
      </c>
      <c r="N119" s="196">
        <v>0</v>
      </c>
      <c r="O119" s="196">
        <v>0.19017899130417232</v>
      </c>
      <c r="P119" s="196">
        <v>0</v>
      </c>
      <c r="Q119" s="196">
        <v>0</v>
      </c>
      <c r="S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row>
    <row r="120" spans="1:70" ht="27.95" customHeight="1" x14ac:dyDescent="0.3">
      <c r="A120" s="59"/>
      <c r="B120" s="151" t="s">
        <v>15</v>
      </c>
      <c r="C120" s="151" t="s">
        <v>16</v>
      </c>
      <c r="D120" s="151" t="s">
        <v>95</v>
      </c>
      <c r="E120" s="151" t="s">
        <v>88</v>
      </c>
      <c r="F120" s="196">
        <v>0</v>
      </c>
      <c r="G120" s="196">
        <v>0.22295094597583293</v>
      </c>
      <c r="H120" s="196">
        <v>0</v>
      </c>
      <c r="I120" s="196">
        <v>0</v>
      </c>
      <c r="J120" s="196">
        <v>0</v>
      </c>
      <c r="K120" s="196">
        <v>0</v>
      </c>
      <c r="L120" s="196">
        <v>0</v>
      </c>
      <c r="M120" s="196">
        <v>0</v>
      </c>
      <c r="N120" s="196">
        <v>0</v>
      </c>
      <c r="O120" s="196">
        <v>0</v>
      </c>
      <c r="P120" s="196">
        <v>0</v>
      </c>
      <c r="Q120" s="196">
        <v>0</v>
      </c>
      <c r="S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8"/>
      <c r="AU120" s="68"/>
      <c r="AV120" s="68"/>
      <c r="AW120" s="68"/>
      <c r="AX120" s="68"/>
      <c r="AY120" s="68"/>
      <c r="AZ120" s="68"/>
      <c r="BA120" s="68"/>
      <c r="BB120" s="68"/>
      <c r="BC120" s="68"/>
      <c r="BD120" s="68"/>
      <c r="BE120" s="68"/>
      <c r="BF120" s="68"/>
      <c r="BG120" s="68"/>
      <c r="BH120" s="68"/>
      <c r="BI120" s="68"/>
      <c r="BJ120" s="68"/>
      <c r="BK120" s="68"/>
      <c r="BL120" s="68"/>
      <c r="BM120" s="68"/>
      <c r="BN120" s="68"/>
      <c r="BO120" s="68"/>
      <c r="BP120" s="68"/>
      <c r="BQ120" s="68"/>
      <c r="BR120" s="68"/>
    </row>
    <row r="121" spans="1:70" ht="27.95" customHeight="1" x14ac:dyDescent="0.3">
      <c r="A121" s="59"/>
      <c r="B121" s="151" t="s">
        <v>19</v>
      </c>
      <c r="C121" s="151" t="s">
        <v>20</v>
      </c>
      <c r="D121" s="151" t="s">
        <v>95</v>
      </c>
      <c r="E121" s="151" t="s">
        <v>88</v>
      </c>
      <c r="F121" s="196">
        <v>0</v>
      </c>
      <c r="G121" s="196">
        <v>0.16132854486359616</v>
      </c>
      <c r="H121" s="196">
        <v>0</v>
      </c>
      <c r="I121" s="196">
        <v>0.15768808230566658</v>
      </c>
      <c r="J121" s="196">
        <v>0</v>
      </c>
      <c r="K121" s="196">
        <v>0.1245564129782432</v>
      </c>
      <c r="L121" s="196">
        <v>0</v>
      </c>
      <c r="M121" s="196">
        <v>9.2705296540238721E-2</v>
      </c>
      <c r="N121" s="196">
        <v>0</v>
      </c>
      <c r="O121" s="196">
        <v>6.2419468137221323E-2</v>
      </c>
      <c r="P121" s="196">
        <v>0</v>
      </c>
      <c r="Q121" s="196">
        <v>0.14682885758434511</v>
      </c>
      <c r="S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8"/>
      <c r="AU121" s="68"/>
      <c r="AV121" s="68"/>
      <c r="AW121" s="68"/>
      <c r="AX121" s="68"/>
      <c r="AY121" s="68"/>
      <c r="AZ121" s="68"/>
      <c r="BA121" s="68"/>
      <c r="BB121" s="68"/>
      <c r="BC121" s="68"/>
      <c r="BD121" s="68"/>
      <c r="BE121" s="68"/>
      <c r="BF121" s="68"/>
      <c r="BG121" s="68"/>
      <c r="BH121" s="68"/>
      <c r="BI121" s="68"/>
      <c r="BJ121" s="68"/>
      <c r="BK121" s="68"/>
      <c r="BL121" s="68"/>
      <c r="BM121" s="68"/>
      <c r="BN121" s="68"/>
      <c r="BO121" s="68"/>
      <c r="BP121" s="68"/>
      <c r="BQ121" s="68"/>
      <c r="BR121" s="68"/>
    </row>
    <row r="122" spans="1:70" ht="27.95" customHeight="1" x14ac:dyDescent="0.3">
      <c r="A122" s="59"/>
      <c r="B122" s="151" t="s">
        <v>25</v>
      </c>
      <c r="C122" s="151" t="s">
        <v>26</v>
      </c>
      <c r="D122" s="151" t="str">
        <f>+VLOOKUP($C122,$C$10:$D$42,2,FALSE)</f>
        <v>USD</v>
      </c>
      <c r="E122" s="151" t="s">
        <v>88</v>
      </c>
      <c r="F122" s="196">
        <v>0</v>
      </c>
      <c r="G122" s="196">
        <v>3.5095893076293205E-3</v>
      </c>
      <c r="H122" s="196">
        <v>0</v>
      </c>
      <c r="I122" s="196">
        <v>3.181434633739902E-3</v>
      </c>
      <c r="J122" s="196">
        <v>0</v>
      </c>
      <c r="K122" s="196">
        <v>2.8493574583996852E-3</v>
      </c>
      <c r="L122" s="196">
        <v>0</v>
      </c>
      <c r="M122" s="196">
        <v>2.5133108951284266E-3</v>
      </c>
      <c r="N122" s="196">
        <v>0</v>
      </c>
      <c r="O122" s="196">
        <v>2.1732474970019913E-3</v>
      </c>
      <c r="P122" s="196">
        <v>0</v>
      </c>
      <c r="Q122" s="196">
        <v>1.4463336969844637E-2</v>
      </c>
      <c r="S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8"/>
    </row>
    <row r="123" spans="1:70" ht="27.95" customHeight="1" x14ac:dyDescent="0.3">
      <c r="A123" s="59"/>
      <c r="B123" s="151" t="s">
        <v>27</v>
      </c>
      <c r="C123" s="151" t="s">
        <v>28</v>
      </c>
      <c r="D123" s="151" t="str">
        <f>+VLOOKUP($C123,$C$10:$D$42,2,FALSE)</f>
        <v>USD</v>
      </c>
      <c r="E123" s="151" t="s">
        <v>88</v>
      </c>
      <c r="F123" s="196">
        <v>0</v>
      </c>
      <c r="G123" s="196">
        <v>0</v>
      </c>
      <c r="H123" s="196">
        <v>0</v>
      </c>
      <c r="I123" s="196">
        <v>0</v>
      </c>
      <c r="J123" s="196">
        <v>0</v>
      </c>
      <c r="K123" s="196">
        <v>0</v>
      </c>
      <c r="L123" s="196">
        <v>0</v>
      </c>
      <c r="M123" s="196">
        <v>0</v>
      </c>
      <c r="N123" s="196">
        <v>0</v>
      </c>
      <c r="O123" s="196">
        <v>0</v>
      </c>
      <c r="P123" s="196">
        <v>0</v>
      </c>
      <c r="Q123" s="196">
        <v>0</v>
      </c>
      <c r="S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c r="AW123" s="68"/>
      <c r="AX123" s="68"/>
      <c r="AY123" s="68"/>
      <c r="AZ123" s="68"/>
      <c r="BA123" s="68"/>
      <c r="BB123" s="68"/>
      <c r="BC123" s="68"/>
      <c r="BD123" s="68"/>
      <c r="BE123" s="68"/>
      <c r="BF123" s="68"/>
      <c r="BG123" s="68"/>
      <c r="BH123" s="68"/>
      <c r="BI123" s="68"/>
      <c r="BJ123" s="68"/>
      <c r="BK123" s="68"/>
      <c r="BL123" s="68"/>
      <c r="BM123" s="68"/>
      <c r="BN123" s="68"/>
      <c r="BO123" s="68"/>
      <c r="BP123" s="68"/>
      <c r="BQ123" s="68"/>
      <c r="BR123" s="68"/>
    </row>
    <row r="124" spans="1:70" ht="27.95" customHeight="1" x14ac:dyDescent="0.3">
      <c r="A124" s="59"/>
      <c r="B124" s="167" t="s">
        <v>29</v>
      </c>
      <c r="C124" s="167"/>
      <c r="D124" s="167"/>
      <c r="E124" s="167"/>
      <c r="F124" s="178">
        <f t="shared" ref="F124:P124" si="40">+SUM(F125:F127)</f>
        <v>0</v>
      </c>
      <c r="G124" s="178">
        <f t="shared" si="40"/>
        <v>1.6899224381380471</v>
      </c>
      <c r="H124" s="178">
        <f t="shared" si="40"/>
        <v>0</v>
      </c>
      <c r="I124" s="178">
        <f t="shared" si="40"/>
        <v>1.6862667825543034</v>
      </c>
      <c r="J124" s="178">
        <f t="shared" si="40"/>
        <v>0</v>
      </c>
      <c r="K124" s="178">
        <f t="shared" si="40"/>
        <v>1.4328448113783299</v>
      </c>
      <c r="L124" s="178">
        <f t="shared" si="40"/>
        <v>0</v>
      </c>
      <c r="M124" s="178">
        <f t="shared" si="40"/>
        <v>1.2955434349665493</v>
      </c>
      <c r="N124" s="178">
        <f t="shared" si="40"/>
        <v>0</v>
      </c>
      <c r="O124" s="178">
        <f t="shared" si="40"/>
        <v>1.1730108788694131</v>
      </c>
      <c r="P124" s="178">
        <f t="shared" si="40"/>
        <v>0</v>
      </c>
      <c r="Q124" s="178">
        <f>+SUM(Q125:Q127)</f>
        <v>0.56355332321221452</v>
      </c>
      <c r="R124" s="106"/>
      <c r="S124" s="106"/>
      <c r="Y124" s="106"/>
      <c r="Z124" s="106"/>
      <c r="AA124" s="106"/>
      <c r="AB124" s="106"/>
      <c r="AC124" s="106"/>
      <c r="AD124" s="106"/>
      <c r="AE124" s="106"/>
      <c r="AF124" s="106"/>
      <c r="AG124" s="106"/>
      <c r="AH124" s="106"/>
      <c r="AI124" s="106"/>
      <c r="AJ124" s="106"/>
      <c r="AK124" s="106"/>
      <c r="AL124" s="106"/>
      <c r="AM124" s="106"/>
      <c r="AN124" s="106"/>
      <c r="AO124" s="106"/>
      <c r="AP124" s="106"/>
      <c r="AQ124" s="106"/>
      <c r="AR124" s="106"/>
      <c r="AS124" s="106"/>
      <c r="AT124" s="106"/>
      <c r="AU124" s="106"/>
      <c r="AV124" s="106"/>
      <c r="AW124" s="106"/>
      <c r="AX124" s="106"/>
      <c r="AY124" s="106"/>
      <c r="AZ124" s="106"/>
      <c r="BA124" s="106"/>
      <c r="BB124" s="106"/>
      <c r="BC124" s="106"/>
      <c r="BD124" s="106"/>
      <c r="BE124" s="106"/>
      <c r="BF124" s="106"/>
      <c r="BG124" s="106"/>
      <c r="BH124" s="106"/>
      <c r="BI124" s="106"/>
      <c r="BJ124" s="106"/>
      <c r="BK124" s="106"/>
      <c r="BL124" s="106"/>
      <c r="BM124" s="106"/>
      <c r="BN124" s="106"/>
      <c r="BO124" s="106"/>
      <c r="BP124" s="106"/>
      <c r="BQ124" s="106"/>
      <c r="BR124" s="106"/>
    </row>
    <row r="125" spans="1:70" ht="27.95" customHeight="1" x14ac:dyDescent="0.3">
      <c r="A125" s="59"/>
      <c r="B125" s="151" t="s">
        <v>30</v>
      </c>
      <c r="C125" s="151" t="s">
        <v>31</v>
      </c>
      <c r="D125" s="151" t="str">
        <f>+VLOOKUP($C125,$C$10:$D$42,2,FALSE)</f>
        <v>USD</v>
      </c>
      <c r="E125" s="151" t="s">
        <v>88</v>
      </c>
      <c r="F125" s="196">
        <v>0</v>
      </c>
      <c r="G125" s="196">
        <v>1.1916123049261211</v>
      </c>
      <c r="H125" s="196">
        <v>0</v>
      </c>
      <c r="I125" s="196">
        <v>1.3060565521090122</v>
      </c>
      <c r="J125" s="196">
        <v>0</v>
      </c>
      <c r="K125" s="196">
        <v>1.1115166093752542</v>
      </c>
      <c r="L125" s="196">
        <v>0</v>
      </c>
      <c r="M125" s="196">
        <v>1.0076587765524203</v>
      </c>
      <c r="N125" s="196">
        <v>0</v>
      </c>
      <c r="O125" s="196">
        <v>0.911349752662306</v>
      </c>
      <c r="P125" s="196">
        <v>0</v>
      </c>
      <c r="Q125" s="196">
        <v>0</v>
      </c>
      <c r="S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c r="AW125" s="68"/>
      <c r="AX125" s="68"/>
      <c r="AY125" s="68"/>
      <c r="AZ125" s="68"/>
      <c r="BA125" s="68"/>
      <c r="BB125" s="68"/>
      <c r="BC125" s="68"/>
      <c r="BD125" s="68"/>
      <c r="BE125" s="68"/>
      <c r="BF125" s="68"/>
      <c r="BG125" s="68"/>
      <c r="BH125" s="68"/>
      <c r="BI125" s="68"/>
      <c r="BJ125" s="68"/>
      <c r="BK125" s="68"/>
      <c r="BL125" s="68"/>
      <c r="BM125" s="68"/>
      <c r="BN125" s="68"/>
      <c r="BO125" s="68"/>
      <c r="BP125" s="68"/>
      <c r="BQ125" s="68"/>
      <c r="BR125" s="68"/>
    </row>
    <row r="126" spans="1:70" ht="27.95" customHeight="1" x14ac:dyDescent="0.3">
      <c r="A126" s="59"/>
      <c r="B126" s="151" t="s">
        <v>160</v>
      </c>
      <c r="C126" s="151" t="s">
        <v>161</v>
      </c>
      <c r="D126" s="151" t="s">
        <v>95</v>
      </c>
      <c r="E126" s="151" t="s">
        <v>88</v>
      </c>
      <c r="F126" s="196">
        <v>0</v>
      </c>
      <c r="G126" s="196">
        <v>0.31932643321192589</v>
      </c>
      <c r="H126" s="196">
        <v>0</v>
      </c>
      <c r="I126" s="196">
        <v>0.25087720044529122</v>
      </c>
      <c r="J126" s="196">
        <v>0</v>
      </c>
      <c r="K126" s="196">
        <v>0.20775004200307556</v>
      </c>
      <c r="L126" s="196">
        <v>0</v>
      </c>
      <c r="M126" s="196">
        <v>0.18107722841412915</v>
      </c>
      <c r="N126" s="196">
        <v>0</v>
      </c>
      <c r="O126" s="196">
        <v>0.15992704620710721</v>
      </c>
      <c r="P126" s="196">
        <v>0</v>
      </c>
      <c r="Q126" s="196">
        <v>0.53774977776942301</v>
      </c>
      <c r="S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c r="AW126" s="68"/>
      <c r="AX126" s="68"/>
      <c r="AY126" s="68"/>
      <c r="AZ126" s="68"/>
      <c r="BA126" s="68"/>
      <c r="BB126" s="68"/>
      <c r="BC126" s="68"/>
      <c r="BD126" s="68"/>
      <c r="BE126" s="68"/>
      <c r="BF126" s="68"/>
      <c r="BG126" s="68"/>
      <c r="BH126" s="68"/>
      <c r="BI126" s="68"/>
      <c r="BJ126" s="68"/>
      <c r="BK126" s="68"/>
      <c r="BL126" s="68"/>
      <c r="BM126" s="68"/>
      <c r="BN126" s="68"/>
      <c r="BO126" s="68"/>
      <c r="BP126" s="68"/>
      <c r="BQ126" s="68"/>
      <c r="BR126" s="68"/>
    </row>
    <row r="127" spans="1:70" ht="27.95" customHeight="1" x14ac:dyDescent="0.3">
      <c r="A127" s="59"/>
      <c r="B127" s="151" t="s">
        <v>139</v>
      </c>
      <c r="C127" s="151" t="s">
        <v>140</v>
      </c>
      <c r="D127" s="151" t="s">
        <v>95</v>
      </c>
      <c r="E127" s="151" t="s">
        <v>88</v>
      </c>
      <c r="F127" s="196">
        <v>0</v>
      </c>
      <c r="G127" s="196">
        <v>0.17898370000000002</v>
      </c>
      <c r="H127" s="196">
        <v>0</v>
      </c>
      <c r="I127" s="196">
        <v>0.12933302999999999</v>
      </c>
      <c r="J127" s="196">
        <v>0</v>
      </c>
      <c r="K127" s="196">
        <v>0.11357816</v>
      </c>
      <c r="L127" s="196">
        <v>0</v>
      </c>
      <c r="M127" s="196">
        <v>0.10680742999999999</v>
      </c>
      <c r="N127" s="196">
        <v>0</v>
      </c>
      <c r="O127" s="196">
        <v>0.10173408</v>
      </c>
      <c r="P127" s="196">
        <v>0</v>
      </c>
      <c r="Q127" s="196">
        <v>2.5803545442791519E-2</v>
      </c>
      <c r="S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68"/>
      <c r="BE127" s="68"/>
      <c r="BF127" s="68"/>
      <c r="BG127" s="68"/>
      <c r="BH127" s="68"/>
      <c r="BI127" s="68"/>
      <c r="BJ127" s="68"/>
      <c r="BK127" s="68"/>
      <c r="BL127" s="68"/>
      <c r="BM127" s="68"/>
      <c r="BN127" s="68"/>
      <c r="BO127" s="68"/>
      <c r="BP127" s="68"/>
      <c r="BQ127" s="68"/>
      <c r="BR127" s="68"/>
    </row>
    <row r="128" spans="1:70" ht="27.95" customHeight="1" x14ac:dyDescent="0.3">
      <c r="A128" s="59"/>
      <c r="B128" s="162" t="s">
        <v>89</v>
      </c>
      <c r="C128" s="162"/>
      <c r="D128" s="162"/>
      <c r="E128" s="162"/>
      <c r="F128" s="175">
        <f t="shared" ref="F128:Q128" si="41">+SUM(F129:F137)</f>
        <v>14981.880929655454</v>
      </c>
      <c r="G128" s="175">
        <f t="shared" si="41"/>
        <v>19.475597213076927</v>
      </c>
      <c r="H128" s="175">
        <f t="shared" si="41"/>
        <v>11160.463314708106</v>
      </c>
      <c r="I128" s="175">
        <f t="shared" si="41"/>
        <v>14.893103750000007</v>
      </c>
      <c r="J128" s="175">
        <f t="shared" si="41"/>
        <v>309.15215675080486</v>
      </c>
      <c r="K128" s="175">
        <f t="shared" si="41"/>
        <v>10.310610288461547</v>
      </c>
      <c r="L128" s="175">
        <f t="shared" si="41"/>
        <v>112.2864075062697</v>
      </c>
      <c r="M128" s="175">
        <f t="shared" si="41"/>
        <v>5.7281168269230855</v>
      </c>
      <c r="N128" s="175">
        <f t="shared" si="41"/>
        <v>74.601943784903227</v>
      </c>
      <c r="O128" s="175">
        <f t="shared" si="41"/>
        <v>1.1456233653846195</v>
      </c>
      <c r="P128" s="175">
        <f t="shared" si="41"/>
        <v>0</v>
      </c>
      <c r="Q128" s="175">
        <f t="shared" si="41"/>
        <v>0</v>
      </c>
      <c r="S128" s="103"/>
      <c r="Y128" s="103"/>
      <c r="Z128" s="103"/>
      <c r="AA128" s="103"/>
      <c r="AB128" s="103"/>
      <c r="AC128" s="103"/>
      <c r="AD128" s="103"/>
      <c r="AE128" s="103"/>
      <c r="AF128" s="103"/>
      <c r="AG128" s="103"/>
      <c r="AH128" s="103"/>
      <c r="AI128" s="103"/>
      <c r="AJ128" s="103"/>
      <c r="AK128" s="103"/>
      <c r="AL128" s="103"/>
      <c r="AM128" s="103"/>
      <c r="AN128" s="103"/>
      <c r="AO128" s="103"/>
      <c r="AP128" s="103"/>
      <c r="AQ128" s="103"/>
      <c r="AR128" s="103"/>
      <c r="AS128" s="103"/>
      <c r="AT128" s="103"/>
      <c r="AU128" s="103"/>
      <c r="AV128" s="103"/>
      <c r="AW128" s="103"/>
      <c r="AX128" s="103"/>
      <c r="AY128" s="103"/>
      <c r="AZ128" s="103"/>
      <c r="BA128" s="103"/>
      <c r="BB128" s="103"/>
      <c r="BC128" s="103"/>
      <c r="BD128" s="103"/>
      <c r="BE128" s="103"/>
      <c r="BF128" s="103"/>
      <c r="BG128" s="103"/>
      <c r="BH128" s="103"/>
      <c r="BI128" s="103"/>
      <c r="BJ128" s="103"/>
      <c r="BK128" s="103"/>
      <c r="BL128" s="103"/>
      <c r="BM128" s="103"/>
      <c r="BN128" s="103"/>
      <c r="BO128" s="103"/>
      <c r="BP128" s="103"/>
      <c r="BQ128" s="103"/>
      <c r="BR128" s="103"/>
    </row>
    <row r="129" spans="1:86" ht="27.95" customHeight="1" x14ac:dyDescent="0.3">
      <c r="A129" s="59"/>
      <c r="B129" s="151" t="s">
        <v>120</v>
      </c>
      <c r="C129" s="151" t="s">
        <v>119</v>
      </c>
      <c r="D129" s="151" t="str">
        <f>+VLOOKUP($C129,$C$10:$D$42,2,FALSE)</f>
        <v>USD</v>
      </c>
      <c r="E129" s="151" t="s">
        <v>89</v>
      </c>
      <c r="F129" s="196">
        <v>0</v>
      </c>
      <c r="G129" s="196">
        <v>19.475597213076927</v>
      </c>
      <c r="H129" s="196">
        <v>0</v>
      </c>
      <c r="I129" s="196">
        <v>14.893103750000007</v>
      </c>
      <c r="J129" s="196">
        <v>0</v>
      </c>
      <c r="K129" s="196">
        <v>10.310610288461547</v>
      </c>
      <c r="L129" s="196">
        <v>0</v>
      </c>
      <c r="M129" s="196">
        <v>5.7281168269230855</v>
      </c>
      <c r="N129" s="196">
        <v>0</v>
      </c>
      <c r="O129" s="196">
        <v>1.1456233653846195</v>
      </c>
      <c r="P129" s="196">
        <v>0</v>
      </c>
      <c r="Q129" s="196">
        <v>0</v>
      </c>
      <c r="S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row>
    <row r="130" spans="1:86" ht="27.95" customHeight="1" x14ac:dyDescent="0.3">
      <c r="A130" s="59"/>
      <c r="B130" s="151" t="s">
        <v>250</v>
      </c>
      <c r="C130" s="151" t="s">
        <v>261</v>
      </c>
      <c r="D130" s="151" t="s">
        <v>2</v>
      </c>
      <c r="E130" s="151" t="s">
        <v>89</v>
      </c>
      <c r="F130" s="196">
        <v>7696.9901997700008</v>
      </c>
      <c r="G130" s="196">
        <v>0</v>
      </c>
      <c r="H130" s="196">
        <v>4401.6474892299993</v>
      </c>
      <c r="I130" s="196">
        <v>0</v>
      </c>
      <c r="J130" s="196">
        <v>0</v>
      </c>
      <c r="K130" s="196">
        <v>0</v>
      </c>
      <c r="L130" s="196">
        <v>0</v>
      </c>
      <c r="M130" s="196">
        <v>0</v>
      </c>
      <c r="N130" s="196">
        <v>0</v>
      </c>
      <c r="O130" s="196">
        <v>0</v>
      </c>
      <c r="P130" s="196">
        <v>0</v>
      </c>
      <c r="Q130" s="196">
        <v>0</v>
      </c>
      <c r="S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row>
    <row r="131" spans="1:86" ht="27.95" customHeight="1" x14ac:dyDescent="0.3">
      <c r="A131" s="59"/>
      <c r="B131" s="151" t="s">
        <v>251</v>
      </c>
      <c r="C131" s="151" t="s">
        <v>262</v>
      </c>
      <c r="D131" s="151" t="s">
        <v>2</v>
      </c>
      <c r="E131" s="151" t="s">
        <v>89</v>
      </c>
      <c r="F131" s="196">
        <v>5698.5148651100008</v>
      </c>
      <c r="G131" s="196">
        <v>0</v>
      </c>
      <c r="H131" s="196">
        <v>6001.2513803799993</v>
      </c>
      <c r="I131" s="196">
        <v>0</v>
      </c>
      <c r="J131" s="196">
        <v>0</v>
      </c>
      <c r="K131" s="196">
        <v>0</v>
      </c>
      <c r="L131" s="196">
        <v>0</v>
      </c>
      <c r="M131" s="196">
        <v>0</v>
      </c>
      <c r="N131" s="196">
        <v>0</v>
      </c>
      <c r="O131" s="196">
        <v>0</v>
      </c>
      <c r="P131" s="196">
        <v>0</v>
      </c>
      <c r="Q131" s="196">
        <v>0</v>
      </c>
      <c r="S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row>
    <row r="132" spans="1:86" ht="27.95" customHeight="1" x14ac:dyDescent="0.3">
      <c r="A132" s="59"/>
      <c r="B132" s="151" t="s">
        <v>223</v>
      </c>
      <c r="C132" s="151" t="s">
        <v>225</v>
      </c>
      <c r="D132" s="151" t="s">
        <v>227</v>
      </c>
      <c r="E132" s="151" t="s">
        <v>89</v>
      </c>
      <c r="F132" s="196">
        <v>0</v>
      </c>
      <c r="G132" s="196">
        <v>0</v>
      </c>
      <c r="H132" s="196">
        <v>0</v>
      </c>
      <c r="I132" s="196">
        <v>0</v>
      </c>
      <c r="J132" s="196">
        <v>0</v>
      </c>
      <c r="K132" s="196">
        <v>0</v>
      </c>
      <c r="L132" s="196">
        <v>0</v>
      </c>
      <c r="M132" s="196">
        <v>0</v>
      </c>
      <c r="N132" s="196">
        <v>0</v>
      </c>
      <c r="O132" s="196">
        <v>0</v>
      </c>
      <c r="P132" s="196">
        <v>0</v>
      </c>
      <c r="Q132" s="196">
        <v>0</v>
      </c>
      <c r="S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8"/>
      <c r="AU132" s="68"/>
      <c r="AV132" s="68"/>
      <c r="AW132" s="68"/>
      <c r="AX132" s="68"/>
      <c r="AY132" s="68"/>
      <c r="AZ132" s="68"/>
      <c r="BA132" s="68"/>
      <c r="BB132" s="68"/>
      <c r="BC132" s="68"/>
      <c r="BD132" s="68"/>
      <c r="BE132" s="68"/>
      <c r="BF132" s="68"/>
      <c r="BG132" s="68"/>
      <c r="BH132" s="68"/>
      <c r="BI132" s="68"/>
      <c r="BJ132" s="68"/>
      <c r="BK132" s="68"/>
      <c r="BL132" s="68"/>
      <c r="BM132" s="68"/>
      <c r="BN132" s="68"/>
      <c r="BO132" s="68"/>
      <c r="BP132" s="68"/>
      <c r="BQ132" s="68"/>
      <c r="BR132" s="68"/>
    </row>
    <row r="133" spans="1:86" ht="27.95" customHeight="1" x14ac:dyDescent="0.3">
      <c r="A133" s="59"/>
      <c r="B133" s="151" t="s">
        <v>224</v>
      </c>
      <c r="C133" s="151" t="s">
        <v>226</v>
      </c>
      <c r="D133" s="151" t="s">
        <v>227</v>
      </c>
      <c r="E133" s="151" t="s">
        <v>89</v>
      </c>
      <c r="F133" s="196">
        <v>0</v>
      </c>
      <c r="G133" s="196">
        <v>0</v>
      </c>
      <c r="H133" s="196">
        <v>0</v>
      </c>
      <c r="I133" s="196">
        <v>0</v>
      </c>
      <c r="J133" s="196">
        <v>0</v>
      </c>
      <c r="K133" s="196">
        <v>0</v>
      </c>
      <c r="L133" s="196">
        <v>0</v>
      </c>
      <c r="M133" s="196">
        <v>0</v>
      </c>
      <c r="N133" s="196">
        <v>0</v>
      </c>
      <c r="O133" s="196">
        <v>0</v>
      </c>
      <c r="P133" s="196">
        <v>0</v>
      </c>
      <c r="Q133" s="196">
        <v>0</v>
      </c>
      <c r="S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c r="AV133" s="68"/>
      <c r="AW133" s="68"/>
      <c r="AX133" s="68"/>
      <c r="AY133" s="68"/>
      <c r="AZ133" s="68"/>
      <c r="BA133" s="68"/>
      <c r="BB133" s="68"/>
      <c r="BC133" s="68"/>
      <c r="BD133" s="68"/>
      <c r="BE133" s="68"/>
      <c r="BF133" s="68"/>
      <c r="BG133" s="68"/>
      <c r="BH133" s="68"/>
      <c r="BI133" s="68"/>
      <c r="BJ133" s="68"/>
      <c r="BK133" s="68"/>
      <c r="BL133" s="68"/>
      <c r="BM133" s="68"/>
      <c r="BN133" s="68"/>
      <c r="BO133" s="68"/>
      <c r="BP133" s="68"/>
      <c r="BQ133" s="68"/>
      <c r="BR133" s="68"/>
    </row>
    <row r="134" spans="1:86" ht="27.95" customHeight="1" x14ac:dyDescent="0.3">
      <c r="A134" s="59"/>
      <c r="B134" s="151" t="s">
        <v>129</v>
      </c>
      <c r="C134" s="151" t="s">
        <v>130</v>
      </c>
      <c r="D134" s="151" t="s">
        <v>2</v>
      </c>
      <c r="E134" s="151" t="s">
        <v>89</v>
      </c>
      <c r="F134" s="196">
        <v>1264.585883759202</v>
      </c>
      <c r="G134" s="196">
        <v>0</v>
      </c>
      <c r="H134" s="196">
        <v>757.56444509810729</v>
      </c>
      <c r="I134" s="196">
        <v>0</v>
      </c>
      <c r="J134" s="196">
        <v>309.15215675080486</v>
      </c>
      <c r="K134" s="196">
        <v>0</v>
      </c>
      <c r="L134" s="196">
        <v>112.2864075062697</v>
      </c>
      <c r="M134" s="196">
        <v>0</v>
      </c>
      <c r="N134" s="196">
        <v>74.601943784903227</v>
      </c>
      <c r="O134" s="196">
        <v>0</v>
      </c>
      <c r="P134" s="196">
        <v>0</v>
      </c>
      <c r="Q134" s="196">
        <v>0</v>
      </c>
      <c r="S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c r="AV134" s="68"/>
      <c r="AW134" s="68"/>
      <c r="AX134" s="68"/>
      <c r="AY134" s="68"/>
      <c r="AZ134" s="68"/>
      <c r="BA134" s="68"/>
      <c r="BB134" s="68"/>
      <c r="BC134" s="68"/>
      <c r="BD134" s="68"/>
      <c r="BE134" s="68"/>
      <c r="BF134" s="68"/>
      <c r="BG134" s="68"/>
      <c r="BH134" s="68"/>
      <c r="BI134" s="68"/>
      <c r="BJ134" s="68"/>
      <c r="BK134" s="68"/>
      <c r="BL134" s="68"/>
      <c r="BM134" s="68"/>
      <c r="BN134" s="68"/>
      <c r="BO134" s="68"/>
      <c r="BP134" s="68"/>
      <c r="BQ134" s="68"/>
      <c r="BR134" s="68"/>
    </row>
    <row r="135" spans="1:86" ht="27.95" customHeight="1" x14ac:dyDescent="0.3">
      <c r="A135" s="59"/>
      <c r="B135" s="151" t="s">
        <v>157</v>
      </c>
      <c r="C135" s="151" t="s">
        <v>158</v>
      </c>
      <c r="D135" s="151" t="s">
        <v>2</v>
      </c>
      <c r="E135" s="151" t="s">
        <v>89</v>
      </c>
      <c r="F135" s="196">
        <v>265.62389385</v>
      </c>
      <c r="G135" s="196">
        <v>0</v>
      </c>
      <c r="H135" s="196">
        <v>0</v>
      </c>
      <c r="I135" s="196">
        <v>0</v>
      </c>
      <c r="J135" s="196">
        <v>0</v>
      </c>
      <c r="K135" s="196">
        <v>0</v>
      </c>
      <c r="L135" s="196">
        <v>0</v>
      </c>
      <c r="M135" s="196">
        <v>0</v>
      </c>
      <c r="N135" s="196">
        <v>0</v>
      </c>
      <c r="O135" s="196">
        <v>0</v>
      </c>
      <c r="P135" s="196">
        <v>0</v>
      </c>
      <c r="Q135" s="196">
        <v>0</v>
      </c>
      <c r="S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8"/>
      <c r="AU135" s="68"/>
      <c r="AV135" s="68"/>
      <c r="AW135" s="68"/>
      <c r="AX135" s="68"/>
      <c r="AY135" s="68"/>
      <c r="AZ135" s="68"/>
      <c r="BA135" s="68"/>
      <c r="BB135" s="68"/>
      <c r="BC135" s="68"/>
      <c r="BD135" s="68"/>
      <c r="BE135" s="68"/>
      <c r="BF135" s="68"/>
      <c r="BG135" s="68"/>
      <c r="BH135" s="68"/>
      <c r="BI135" s="68"/>
      <c r="BJ135" s="68"/>
      <c r="BK135" s="68"/>
      <c r="BL135" s="68"/>
      <c r="BM135" s="68"/>
      <c r="BN135" s="68"/>
      <c r="BO135" s="68"/>
      <c r="BP135" s="68"/>
      <c r="BQ135" s="68"/>
      <c r="BR135" s="68"/>
    </row>
    <row r="136" spans="1:86" ht="27.95" customHeight="1" x14ac:dyDescent="0.3">
      <c r="A136" s="59"/>
      <c r="B136" s="151" t="s">
        <v>124</v>
      </c>
      <c r="C136" s="151" t="s">
        <v>125</v>
      </c>
      <c r="D136" s="151" t="s">
        <v>2</v>
      </c>
      <c r="E136" s="151" t="s">
        <v>89</v>
      </c>
      <c r="F136" s="196">
        <v>54.295652133825214</v>
      </c>
      <c r="G136" s="196">
        <v>0</v>
      </c>
      <c r="H136" s="196">
        <v>0</v>
      </c>
      <c r="I136" s="196">
        <v>0</v>
      </c>
      <c r="J136" s="196">
        <v>0</v>
      </c>
      <c r="K136" s="196">
        <v>0</v>
      </c>
      <c r="L136" s="196">
        <v>0</v>
      </c>
      <c r="M136" s="196">
        <v>0</v>
      </c>
      <c r="N136" s="196">
        <v>0</v>
      </c>
      <c r="O136" s="196">
        <v>0</v>
      </c>
      <c r="P136" s="196">
        <v>0</v>
      </c>
      <c r="Q136" s="196">
        <v>0</v>
      </c>
      <c r="S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row>
    <row r="137" spans="1:86" ht="27.95" customHeight="1" x14ac:dyDescent="0.3">
      <c r="A137" s="59"/>
      <c r="B137" s="151" t="s">
        <v>32</v>
      </c>
      <c r="C137" s="151" t="s">
        <v>33</v>
      </c>
      <c r="D137" s="151" t="s">
        <v>2</v>
      </c>
      <c r="E137" s="151" t="s">
        <v>89</v>
      </c>
      <c r="F137" s="196">
        <v>1.8704350324245216</v>
      </c>
      <c r="G137" s="196">
        <v>0</v>
      </c>
      <c r="H137" s="196">
        <v>0</v>
      </c>
      <c r="I137" s="196">
        <v>0</v>
      </c>
      <c r="J137" s="196">
        <v>0</v>
      </c>
      <c r="K137" s="196">
        <v>0</v>
      </c>
      <c r="L137" s="196">
        <v>0</v>
      </c>
      <c r="M137" s="196">
        <v>0</v>
      </c>
      <c r="N137" s="196">
        <v>0</v>
      </c>
      <c r="O137" s="196">
        <v>0</v>
      </c>
      <c r="P137" s="196">
        <v>0</v>
      </c>
      <c r="Q137" s="196">
        <v>0</v>
      </c>
      <c r="S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8"/>
      <c r="AU137" s="68"/>
      <c r="AV137" s="68"/>
      <c r="AW137" s="68"/>
      <c r="AX137" s="68"/>
      <c r="AY137" s="68"/>
      <c r="AZ137" s="68"/>
      <c r="BA137" s="68"/>
      <c r="BB137" s="68"/>
      <c r="BC137" s="68"/>
      <c r="BD137" s="68"/>
      <c r="BE137" s="68"/>
      <c r="BF137" s="68"/>
      <c r="BG137" s="68"/>
      <c r="BH137" s="68"/>
      <c r="BI137" s="68"/>
      <c r="BJ137" s="68"/>
      <c r="BK137" s="68"/>
      <c r="BL137" s="68"/>
      <c r="BM137" s="68"/>
      <c r="BN137" s="68"/>
      <c r="BO137" s="68"/>
      <c r="BP137" s="68"/>
      <c r="BQ137" s="68"/>
      <c r="BR137" s="68"/>
    </row>
    <row r="138" spans="1:86" ht="6.75" customHeight="1" x14ac:dyDescent="0.3">
      <c r="B138" s="14"/>
      <c r="C138" s="12"/>
      <c r="D138" s="12"/>
      <c r="F138" s="68"/>
      <c r="G138" s="68"/>
      <c r="H138" s="68"/>
      <c r="I138" s="68"/>
      <c r="J138" s="68"/>
      <c r="K138" s="68"/>
      <c r="L138" s="68"/>
      <c r="M138" s="68"/>
      <c r="N138" s="68"/>
      <c r="O138" s="68"/>
      <c r="P138" s="67"/>
      <c r="Q138" s="67"/>
      <c r="S138" s="68"/>
      <c r="Y138" s="67"/>
      <c r="Z138" s="68"/>
      <c r="AA138" s="68"/>
      <c r="AB138" s="68"/>
      <c r="AC138" s="68"/>
      <c r="AD138" s="68"/>
      <c r="AE138" s="68"/>
      <c r="AF138" s="68"/>
      <c r="AG138" s="68"/>
      <c r="AH138" s="68"/>
      <c r="AI138" s="68"/>
      <c r="AJ138" s="68"/>
      <c r="AK138" s="68"/>
      <c r="AL138" s="68"/>
      <c r="AM138" s="68"/>
      <c r="AN138" s="68"/>
      <c r="AO138" s="68"/>
      <c r="AP138" s="68"/>
      <c r="AQ138" s="68"/>
      <c r="AR138" s="68"/>
      <c r="AS138" s="68"/>
      <c r="AT138" s="68"/>
      <c r="AU138" s="68"/>
      <c r="AV138" s="68"/>
      <c r="AW138" s="68"/>
      <c r="AX138" s="68"/>
      <c r="AY138" s="68"/>
      <c r="AZ138" s="68"/>
      <c r="BA138" s="68"/>
      <c r="BB138" s="68"/>
      <c r="BC138" s="68"/>
      <c r="BD138" s="68"/>
      <c r="BE138" s="68"/>
      <c r="BF138" s="68"/>
      <c r="BG138" s="68"/>
      <c r="BH138" s="68"/>
      <c r="BI138" s="68"/>
      <c r="BJ138" s="68"/>
      <c r="BK138" s="68"/>
      <c r="BL138" s="68"/>
      <c r="BM138" s="68"/>
      <c r="BN138" s="68"/>
      <c r="BO138" s="68"/>
      <c r="BP138" s="68"/>
      <c r="BQ138" s="68"/>
      <c r="BR138" s="68"/>
    </row>
    <row r="139" spans="1:86" ht="29.25" customHeight="1" x14ac:dyDescent="0.3">
      <c r="B139" s="293" t="s">
        <v>34</v>
      </c>
      <c r="C139" s="294"/>
      <c r="D139" s="294"/>
      <c r="E139" s="295"/>
      <c r="F139" s="175">
        <f t="shared" ref="F139:Q139" si="42">+F128+F112+F104+F109</f>
        <v>24675.410618353348</v>
      </c>
      <c r="G139" s="175">
        <f t="shared" si="42"/>
        <v>31.288586434525826</v>
      </c>
      <c r="H139" s="175">
        <f t="shared" si="42"/>
        <v>18301.522705171104</v>
      </c>
      <c r="I139" s="175">
        <f t="shared" si="42"/>
        <v>23.90328815126875</v>
      </c>
      <c r="J139" s="175">
        <f t="shared" si="42"/>
        <v>2822.0533645210271</v>
      </c>
      <c r="K139" s="175">
        <f t="shared" si="42"/>
        <v>17.885695781468549</v>
      </c>
      <c r="L139" s="175">
        <f t="shared" si="42"/>
        <v>192.10227770494021</v>
      </c>
      <c r="M139" s="175">
        <f t="shared" si="42"/>
        <v>11.994091700180022</v>
      </c>
      <c r="N139" s="175">
        <f t="shared" si="42"/>
        <v>138.6881966113497</v>
      </c>
      <c r="O139" s="175">
        <f t="shared" si="42"/>
        <v>6.02994034998828</v>
      </c>
      <c r="P139" s="175">
        <f t="shared" si="42"/>
        <v>26.843257538050434</v>
      </c>
      <c r="Q139" s="175">
        <f t="shared" si="42"/>
        <v>2.3771245466274253</v>
      </c>
      <c r="S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3"/>
      <c r="BR139" s="103"/>
    </row>
    <row r="140" spans="1:86" x14ac:dyDescent="0.3">
      <c r="B140" s="35"/>
      <c r="C140" s="35"/>
      <c r="D140" s="35"/>
      <c r="E140" s="83"/>
      <c r="F140" s="134"/>
      <c r="G140" s="85"/>
      <c r="H140" s="85"/>
      <c r="I140" s="85"/>
      <c r="J140" s="85"/>
      <c r="K140" s="85"/>
      <c r="L140" s="85"/>
      <c r="M140" s="85"/>
      <c r="N140" s="85"/>
      <c r="O140" s="85"/>
      <c r="P140" s="85"/>
      <c r="Q140" s="85"/>
      <c r="R140" s="85"/>
      <c r="S140" s="85"/>
      <c r="T140" s="85"/>
      <c r="U140" s="85"/>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row>
  </sheetData>
  <sortState xmlns:xlrd2="http://schemas.microsoft.com/office/spreadsheetml/2017/richdata2" ref="B137:Q137">
    <sortCondition descending="1" ref="C137"/>
  </sortState>
  <mergeCells count="21">
    <mergeCell ref="B2:U2"/>
    <mergeCell ref="B6:B8"/>
    <mergeCell ref="C6:C8"/>
    <mergeCell ref="G6:G8"/>
    <mergeCell ref="D6:D8"/>
    <mergeCell ref="J6:J8"/>
    <mergeCell ref="N6:N8"/>
    <mergeCell ref="H6:H8"/>
    <mergeCell ref="I6:I8"/>
    <mergeCell ref="K6:K8"/>
    <mergeCell ref="L6:L8"/>
    <mergeCell ref="E6:E7"/>
    <mergeCell ref="F6:F7"/>
    <mergeCell ref="M6:M8"/>
    <mergeCell ref="B55:U55"/>
    <mergeCell ref="B99:U99"/>
    <mergeCell ref="B44:D44"/>
    <mergeCell ref="B95:E95"/>
    <mergeCell ref="B139:E139"/>
    <mergeCell ref="B48:N48"/>
    <mergeCell ref="B47:N47"/>
  </mergeCells>
  <hyperlinks>
    <hyperlink ref="C70" location="BIDF40!A1" display="BIDF40" xr:uid="{00000000-0004-0000-0000-000000000000}"/>
    <hyperlink ref="C81" location="BIRS38!A1" display="BIRS38" xr:uid="{00000000-0004-0000-0000-000001000000}"/>
    <hyperlink ref="C78" location="BIDS34!A1" display="BIDS34" xr:uid="{00000000-0004-0000-0000-000002000000}"/>
    <hyperlink ref="C114" location="BIDF40!A1" display="BIDF40" xr:uid="{00000000-0004-0000-0000-000003000000}"/>
    <hyperlink ref="C125" location="BIRS38!A1" display="BIRS38" xr:uid="{00000000-0004-0000-0000-000004000000}"/>
    <hyperlink ref="C122" location="BIDS34!A1" display="BIDS34" xr:uid="{00000000-0004-0000-0000-000005000000}"/>
    <hyperlink ref="C123" location="BIDS23!A1" display="BIDS23" xr:uid="{00000000-0004-0000-0000-000006000000}"/>
    <hyperlink ref="C19" location="BIDF40!A1" display="BIDF40" xr:uid="{00000000-0004-0000-0000-000007000000}"/>
    <hyperlink ref="C26" location="BIDN32!A1" display="BIDN32" xr:uid="{00000000-0004-0000-0000-000008000000}"/>
    <hyperlink ref="C30" location="BIRS38!A1" display="BIRS38" xr:uid="{00000000-0004-0000-0000-000009000000}"/>
    <hyperlink ref="C27" location="BIDS34!A1" display="BIDS34" xr:uid="{00000000-0004-0000-0000-00000A000000}"/>
    <hyperlink ref="C28" location="BIDS23!A1" display="BIDS23" xr:uid="{00000000-0004-0000-0000-00000B000000}"/>
    <hyperlink ref="C23" location="BIDY42!A1" display="BIDY42" xr:uid="{00000000-0004-0000-0000-00000C000000}"/>
    <hyperlink ref="C11" location="FFFIRF26!A1" display="FFFIRF26" xr:uid="{00000000-0004-0000-0000-00000D000000}"/>
    <hyperlink ref="C12" location="IPVO26!A1" display="IPVO26" xr:uid="{00000000-0004-0000-0000-00000E000000}"/>
    <hyperlink ref="C13" location="FFFIRE26!A1" display="FFFIRE26" xr:uid="{00000000-0004-0000-0000-00000F000000}"/>
    <hyperlink ref="C42" location="'PMG25'!A1" display="PMG25" xr:uid="{00000000-0004-0000-0000-000010000000}"/>
    <hyperlink ref="C71" location="BIDN44!A1" display="BIDN44" xr:uid="{00000000-0004-0000-0000-000011000000}"/>
    <hyperlink ref="C115" location="BIDN44!A1" display="BIDN44" xr:uid="{00000000-0004-0000-0000-000012000000}"/>
    <hyperlink ref="C41" location="'PMY25'!A1" display="PMY25" xr:uid="{00000000-0004-0000-0000-000013000000}"/>
    <hyperlink ref="C93" location="'PMY25'!A1" display="PMY25" xr:uid="{00000000-0004-0000-0000-000014000000}"/>
    <hyperlink ref="C137" location="'PMY25'!A1" display="PMY25" xr:uid="{00000000-0004-0000-0000-000015000000}"/>
    <hyperlink ref="C67" location="BNAM27!A1" display="BNAM27" xr:uid="{00000000-0004-0000-0000-000016000000}"/>
    <hyperlink ref="C16" location="BNAM27!A1" display="BNAM27" xr:uid="{00000000-0004-0000-0000-000017000000}"/>
    <hyperlink ref="C111" location="BNAM27!A1" display="BNAM27" xr:uid="{00000000-0004-0000-0000-000018000000}"/>
    <hyperlink ref="C82" location="BIRFE50!A1" display="BIRFE50" xr:uid="{00000000-0004-0000-0000-000019000000}"/>
    <hyperlink ref="C79" location="BIDS23!A1" display="BIDS23" xr:uid="{00000000-0004-0000-0000-00001A000000}"/>
    <hyperlink ref="C62" location="FFFIRF26!A1" display="FFFIRF26" xr:uid="{00000000-0004-0000-0000-00001B000000}"/>
    <hyperlink ref="C63" location="IPVO26!A1" display="IPVO26" xr:uid="{00000000-0004-0000-0000-00001C000000}"/>
    <hyperlink ref="C64" location="FFFIRE26!A1" display="FFFIRE26" xr:uid="{00000000-0004-0000-0000-00001D000000}"/>
    <hyperlink ref="C74" location="BIDY42!A1" display="BIDY42" xr:uid="{00000000-0004-0000-0000-00001E000000}"/>
    <hyperlink ref="C77" location="BIDN32!A1" display="BIDN32" xr:uid="{00000000-0004-0000-0000-00001F000000}"/>
    <hyperlink ref="C106" location="FFFIRF26!A1" display="FFFIRF26" xr:uid="{00000000-0004-0000-0000-000020000000}"/>
    <hyperlink ref="C107" location="IPVO26!A1" display="IPVO26" xr:uid="{00000000-0004-0000-0000-000021000000}"/>
    <hyperlink ref="C108" location="FFFIRE26!A1" display="FFFIRE26" xr:uid="{00000000-0004-0000-0000-000022000000}"/>
    <hyperlink ref="C118" location="BIDY42!A1" display="BIDY42" xr:uid="{00000000-0004-0000-0000-000023000000}"/>
    <hyperlink ref="C120" location="BIDY42!A1" display="BIDY42" xr:uid="{00000000-0004-0000-0000-000024000000}"/>
    <hyperlink ref="C121" location="BIDN32!A1" display="BIDN32" xr:uid="{00000000-0004-0000-0000-000025000000}"/>
    <hyperlink ref="C36" location="'TAMAR 2'!A1" display="'TAMAR 2'!A1" xr:uid="{00000000-0004-0000-0000-000026000000}"/>
    <hyperlink ref="C35" location="'TAMAR 1'!A1" display="TAMAR 1" xr:uid="{00000000-0004-0000-0000-000027000000}"/>
    <hyperlink ref="C87" location="'TAMAR 2'!A1" display="'TAMAR 2'!A1" xr:uid="{00000000-0004-0000-0000-000028000000}"/>
    <hyperlink ref="C131" location="'TAMAR 2'!A1" display="'TAMAR 2'!A1" xr:uid="{00000000-0004-0000-0000-00002A000000}"/>
    <hyperlink ref="C130" location="'TAMAR 1'!A1" display="TAMAR 1" xr:uid="{00000000-0004-0000-0000-00002B000000}"/>
  </hyperlinks>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P138"/>
  <sheetViews>
    <sheetView topLeftCell="A21" zoomScaleNormal="100" workbookViewId="0">
      <selection activeCell="M3" sqref="M3:M47"/>
    </sheetView>
  </sheetViews>
  <sheetFormatPr baseColWidth="10" defaultRowHeight="15" x14ac:dyDescent="0.25"/>
  <cols>
    <col min="17" max="17" width="11.85546875" bestFit="1" customWidth="1"/>
  </cols>
  <sheetData>
    <row r="1" spans="1:16" x14ac:dyDescent="0.25">
      <c r="L1" t="s">
        <v>205</v>
      </c>
    </row>
    <row r="2" spans="1:16" x14ac:dyDescent="0.25">
      <c r="A2" s="154" t="s">
        <v>172</v>
      </c>
      <c r="B2" s="154" t="s">
        <v>173</v>
      </c>
      <c r="C2" t="s">
        <v>174</v>
      </c>
      <c r="D2" t="s">
        <v>175</v>
      </c>
      <c r="E2" s="154" t="s">
        <v>176</v>
      </c>
      <c r="G2" t="s">
        <v>172</v>
      </c>
      <c r="H2" t="s">
        <v>177</v>
      </c>
      <c r="M2" t="s">
        <v>176</v>
      </c>
    </row>
    <row r="3" spans="1:16" x14ac:dyDescent="0.25">
      <c r="A3" s="122">
        <v>41609</v>
      </c>
      <c r="C3" s="124">
        <v>544.12</v>
      </c>
      <c r="E3" s="127">
        <f>+C3</f>
        <v>544.12</v>
      </c>
      <c r="G3" s="122">
        <v>41699</v>
      </c>
      <c r="H3">
        <f>+AVERAGE($E$133:$E$135)/AVERAGE(E4:E6)</f>
        <v>169.4470404966942</v>
      </c>
      <c r="J3">
        <v>29.541577188732788</v>
      </c>
      <c r="M3" s="153">
        <f t="shared" ref="M3:M46" si="0">+_xlfn.XLOOKUP($G$47,$A:$A,$E:$E)/_xlfn.XLOOKUP(G3,$A:$A,$E:$E)</f>
        <v>177.86143399130464</v>
      </c>
      <c r="N3" s="123"/>
      <c r="P3">
        <v>177.86143399130464</v>
      </c>
    </row>
    <row r="4" spans="1:16" x14ac:dyDescent="0.25">
      <c r="A4" s="122">
        <f>+EDATE(A3,1)</f>
        <v>41640</v>
      </c>
      <c r="C4" s="124">
        <v>561.83000000000004</v>
      </c>
      <c r="D4" s="111">
        <f>+C4/C3-1</f>
        <v>3.2547967360141206E-2</v>
      </c>
      <c r="E4" s="127">
        <f t="shared" ref="E4:E39" si="1">+C4</f>
        <v>561.83000000000004</v>
      </c>
      <c r="G4" s="122">
        <f>+EDATE(G3,3)</f>
        <v>41791</v>
      </c>
      <c r="H4">
        <f>+AVERAGE($E$133:$E$135)/AVERAGE(E7:E9)</f>
        <v>150.25989909997548</v>
      </c>
      <c r="I4" s="123">
        <f>+H4/H3-1</f>
        <v>-0.11323385371899164</v>
      </c>
      <c r="J4">
        <v>27.497746740226049</v>
      </c>
      <c r="K4" s="123">
        <f>+J4/J3-1</f>
        <v>-6.9184879177211278E-2</v>
      </c>
      <c r="M4" s="153">
        <f t="shared" si="0"/>
        <v>163.39996891134851</v>
      </c>
      <c r="N4" s="123"/>
      <c r="P4">
        <v>163.39996891134851</v>
      </c>
    </row>
    <row r="5" spans="1:16" x14ac:dyDescent="0.25">
      <c r="A5" s="122">
        <f>+EDATE(A4,1)</f>
        <v>41671</v>
      </c>
      <c r="C5" s="124">
        <v>585.34</v>
      </c>
      <c r="D5" s="111">
        <f t="shared" ref="D5:D68" si="2">+C5/C4-1</f>
        <v>4.1845398074150442E-2</v>
      </c>
      <c r="E5" s="127">
        <f t="shared" si="1"/>
        <v>585.34</v>
      </c>
      <c r="G5" s="122">
        <f t="shared" ref="G5:G47" si="3">+EDATE(G4,3)</f>
        <v>41883</v>
      </c>
      <c r="H5">
        <f>+AVERAGE($E$133:$E$135)/AVERAGE(E10:E12)</f>
        <v>141.12752873220731</v>
      </c>
      <c r="I5" s="123">
        <f t="shared" ref="I5:I40" si="4">+H5/H4-1</f>
        <v>-6.0777162918843386E-2</v>
      </c>
      <c r="J5">
        <v>25.741624627759919</v>
      </c>
      <c r="K5" s="123">
        <f t="shared" ref="K5:K40" si="5">+J5/J4-1</f>
        <v>-6.3864218732407108E-2</v>
      </c>
      <c r="M5" s="153">
        <f t="shared" si="0"/>
        <v>153.55275005356953</v>
      </c>
      <c r="N5" s="123"/>
      <c r="P5">
        <v>153.55275005356953</v>
      </c>
    </row>
    <row r="6" spans="1:16" x14ac:dyDescent="0.25">
      <c r="A6" s="122">
        <f t="shared" ref="A6:A36" si="6">+EDATE(A5,1)</f>
        <v>41699</v>
      </c>
      <c r="C6" s="124">
        <v>627.32000000000005</v>
      </c>
      <c r="D6" s="111">
        <f t="shared" si="2"/>
        <v>7.1719000922540799E-2</v>
      </c>
      <c r="E6" s="127">
        <f t="shared" si="1"/>
        <v>627.32000000000005</v>
      </c>
      <c r="G6" s="122">
        <f t="shared" si="3"/>
        <v>41974</v>
      </c>
      <c r="H6">
        <f>+AVERAGE($E$133:$E$135)/AVERAGE(E13:E15)</f>
        <v>132.03678055688809</v>
      </c>
      <c r="I6" s="123">
        <f t="shared" si="4"/>
        <v>-6.4415130463802872E-2</v>
      </c>
      <c r="J6">
        <v>24.609303887173208</v>
      </c>
      <c r="K6" s="123">
        <f t="shared" si="5"/>
        <v>-4.3987928382950958E-2</v>
      </c>
      <c r="M6" s="153">
        <f t="shared" si="0"/>
        <v>144.97172024768102</v>
      </c>
      <c r="N6" s="123"/>
      <c r="P6">
        <v>144.97172024768102</v>
      </c>
    </row>
    <row r="7" spans="1:16" x14ac:dyDescent="0.25">
      <c r="A7" s="122">
        <f t="shared" si="6"/>
        <v>41730</v>
      </c>
      <c r="C7" s="124">
        <v>652.39</v>
      </c>
      <c r="D7" s="111">
        <f t="shared" si="2"/>
        <v>3.9963654912962943E-2</v>
      </c>
      <c r="E7" s="127">
        <f t="shared" si="1"/>
        <v>652.39</v>
      </c>
      <c r="G7" s="122">
        <f t="shared" si="3"/>
        <v>42064</v>
      </c>
      <c r="H7">
        <f>+AVERAGE($E$133:$E$135)/AVERAGE(E16:E18)</f>
        <v>126.21291624662263</v>
      </c>
      <c r="I7" s="123">
        <f t="shared" si="4"/>
        <v>-4.4107893919423824E-2</v>
      </c>
      <c r="J7">
        <v>23.267931578378025</v>
      </c>
      <c r="K7" s="123">
        <f t="shared" si="5"/>
        <v>-5.4506714815867996E-2</v>
      </c>
      <c r="M7" s="153">
        <f t="shared" si="0"/>
        <v>137.98498011578539</v>
      </c>
      <c r="N7" s="123"/>
      <c r="P7">
        <v>137.98498011578539</v>
      </c>
    </row>
    <row r="8" spans="1:16" x14ac:dyDescent="0.25">
      <c r="A8" s="122">
        <f t="shared" si="6"/>
        <v>41760</v>
      </c>
      <c r="C8" s="124">
        <v>665.85</v>
      </c>
      <c r="D8" s="111">
        <f t="shared" si="2"/>
        <v>2.063183065344365E-2</v>
      </c>
      <c r="E8" s="127">
        <f t="shared" si="1"/>
        <v>665.85</v>
      </c>
      <c r="G8" s="122">
        <f t="shared" si="3"/>
        <v>42156</v>
      </c>
      <c r="H8">
        <f>+AVERAGE($E$133:$E$135)/AVERAGE(E19:E21)</f>
        <v>119.21090085160549</v>
      </c>
      <c r="I8" s="123">
        <f t="shared" si="4"/>
        <v>-5.5477803724422792E-2</v>
      </c>
      <c r="J8">
        <v>22.093317965256286</v>
      </c>
      <c r="K8" s="123">
        <f t="shared" si="5"/>
        <v>-5.0482081278477753E-2</v>
      </c>
      <c r="M8" s="153">
        <f t="shared" si="0"/>
        <v>130.23325019425405</v>
      </c>
      <c r="N8" s="123"/>
      <c r="P8">
        <v>130.23325019425405</v>
      </c>
    </row>
    <row r="9" spans="1:16" x14ac:dyDescent="0.25">
      <c r="A9" s="122">
        <f t="shared" si="6"/>
        <v>41791</v>
      </c>
      <c r="C9" s="124">
        <v>682.84</v>
      </c>
      <c r="D9" s="111">
        <f t="shared" si="2"/>
        <v>2.551625741533381E-2</v>
      </c>
      <c r="E9" s="127">
        <f t="shared" si="1"/>
        <v>682.84</v>
      </c>
      <c r="G9" s="122">
        <f t="shared" si="3"/>
        <v>42248</v>
      </c>
      <c r="H9">
        <f>+AVERAGE($E$133:$E$135)/AVERAGE(E22:E24)</f>
        <v>113.22396066145222</v>
      </c>
      <c r="I9" s="123">
        <f t="shared" si="4"/>
        <v>-5.0221415553312942E-2</v>
      </c>
      <c r="J9">
        <v>20.881330193908372</v>
      </c>
      <c r="K9" s="123">
        <f t="shared" si="5"/>
        <v>-5.4857662088323433E-2</v>
      </c>
      <c r="M9" s="153">
        <f t="shared" si="0"/>
        <v>123.53687500988201</v>
      </c>
      <c r="N9" s="123"/>
      <c r="P9">
        <v>123.53687500988201</v>
      </c>
    </row>
    <row r="10" spans="1:16" x14ac:dyDescent="0.25">
      <c r="A10" s="122">
        <f t="shared" si="6"/>
        <v>41821</v>
      </c>
      <c r="C10" s="124">
        <v>695.13</v>
      </c>
      <c r="D10" s="111">
        <f t="shared" si="2"/>
        <v>1.7998359791459251E-2</v>
      </c>
      <c r="E10" s="127">
        <f t="shared" si="1"/>
        <v>695.13</v>
      </c>
      <c r="G10" s="122">
        <f t="shared" si="3"/>
        <v>42339</v>
      </c>
      <c r="H10">
        <f>+AVERAGE($E$133:$E$135)/AVERAGE(E25:E27)</f>
        <v>106.31495389007182</v>
      </c>
      <c r="I10" s="123">
        <f t="shared" si="4"/>
        <v>-6.1020712674403232E-2</v>
      </c>
      <c r="J10">
        <v>19.172189011428014</v>
      </c>
      <c r="K10" s="123">
        <f t="shared" si="5"/>
        <v>-8.1850206218134547E-2</v>
      </c>
      <c r="M10" s="153">
        <f t="shared" si="0"/>
        <v>115.62762681502365</v>
      </c>
      <c r="N10" s="123"/>
      <c r="P10">
        <v>115.62762681502365</v>
      </c>
    </row>
    <row r="11" spans="1:16" x14ac:dyDescent="0.25">
      <c r="A11" s="122">
        <f t="shared" si="6"/>
        <v>41852</v>
      </c>
      <c r="C11" s="124">
        <v>708.81</v>
      </c>
      <c r="D11" s="111">
        <f t="shared" si="2"/>
        <v>1.9679772128954331E-2</v>
      </c>
      <c r="E11" s="127">
        <f t="shared" si="1"/>
        <v>708.81</v>
      </c>
      <c r="G11" s="122">
        <f t="shared" si="3"/>
        <v>42430</v>
      </c>
      <c r="H11">
        <f>+AVERAGE($E$133:$E$135)/AVERAGE(E28:E30)</f>
        <v>94.027205687305411</v>
      </c>
      <c r="I11" s="123">
        <f t="shared" si="4"/>
        <v>-0.11557873801527274</v>
      </c>
      <c r="J11">
        <v>17.31764991747065</v>
      </c>
      <c r="K11" s="123">
        <f t="shared" si="5"/>
        <v>-9.6730691151225567E-2</v>
      </c>
      <c r="M11" s="153">
        <f t="shared" si="0"/>
        <v>101.46412052036558</v>
      </c>
      <c r="N11" s="123"/>
      <c r="P11">
        <v>101.46412052036558</v>
      </c>
    </row>
    <row r="12" spans="1:16" x14ac:dyDescent="0.25">
      <c r="A12" s="122">
        <f t="shared" si="6"/>
        <v>41883</v>
      </c>
      <c r="C12" s="125">
        <v>726.63</v>
      </c>
      <c r="D12" s="111">
        <f t="shared" si="2"/>
        <v>2.5140728827189207E-2</v>
      </c>
      <c r="E12" s="127">
        <f t="shared" si="1"/>
        <v>726.63</v>
      </c>
      <c r="G12" s="122">
        <f t="shared" si="3"/>
        <v>42522</v>
      </c>
      <c r="H12">
        <f>+AVERAGE($E$133:$E$135)/AVERAGE(E31:E33)</f>
        <v>85.346367068297909</v>
      </c>
      <c r="I12" s="123">
        <f t="shared" si="4"/>
        <v>-9.2322626792465612E-2</v>
      </c>
      <c r="J12">
        <v>15.357014315529433</v>
      </c>
      <c r="K12" s="123">
        <f t="shared" si="5"/>
        <v>-0.1132160316951123</v>
      </c>
      <c r="M12" s="153">
        <f t="shared" si="0"/>
        <v>91.466262334550876</v>
      </c>
      <c r="N12" s="123"/>
      <c r="P12">
        <v>91.466262334550876</v>
      </c>
    </row>
    <row r="13" spans="1:16" x14ac:dyDescent="0.25">
      <c r="A13" s="122">
        <f t="shared" si="6"/>
        <v>41913</v>
      </c>
      <c r="C13" s="125">
        <v>749.11</v>
      </c>
      <c r="D13" s="111">
        <f t="shared" si="2"/>
        <v>3.093734087499822E-2</v>
      </c>
      <c r="E13" s="127">
        <f t="shared" si="1"/>
        <v>749.11</v>
      </c>
      <c r="G13" s="122">
        <f t="shared" si="3"/>
        <v>42614</v>
      </c>
      <c r="H13">
        <f>+AVERAGE($E$133:$E$135)/AVERAGE(E34:E36)</f>
        <v>79.602593100074117</v>
      </c>
      <c r="I13" s="123">
        <f t="shared" si="4"/>
        <v>-6.7299571915315104E-2</v>
      </c>
      <c r="J13">
        <v>15.308841624632819</v>
      </c>
      <c r="K13" s="123">
        <f t="shared" si="5"/>
        <v>-3.1368526398976027E-3</v>
      </c>
      <c r="M13" s="153">
        <f t="shared" si="0"/>
        <v>87.593056030322842</v>
      </c>
      <c r="N13" s="123"/>
      <c r="P13">
        <v>87.593056030322842</v>
      </c>
    </row>
    <row r="14" spans="1:16" x14ac:dyDescent="0.25">
      <c r="A14" s="122">
        <f t="shared" si="6"/>
        <v>41944</v>
      </c>
      <c r="C14" s="125">
        <v>758.51</v>
      </c>
      <c r="D14" s="111">
        <f t="shared" si="2"/>
        <v>1.2548223892352217E-2</v>
      </c>
      <c r="E14" s="127">
        <f t="shared" si="1"/>
        <v>758.51</v>
      </c>
      <c r="G14" s="122">
        <f t="shared" si="3"/>
        <v>42705</v>
      </c>
      <c r="H14">
        <f>+AVERAGE($E$133:$E$135)/AVERAGE(E37:E39)</f>
        <v>76.008513585019571</v>
      </c>
      <c r="I14" s="123">
        <f t="shared" si="4"/>
        <v>-4.5150281857478824E-2</v>
      </c>
      <c r="J14">
        <v>14.313991251839109</v>
      </c>
      <c r="K14" s="123">
        <f t="shared" si="5"/>
        <v>-6.4985346193204951E-2</v>
      </c>
      <c r="M14" s="153">
        <f t="shared" si="0"/>
        <v>83.326637967636955</v>
      </c>
      <c r="N14" s="123"/>
      <c r="P14">
        <v>83.326637967636955</v>
      </c>
    </row>
    <row r="15" spans="1:16" x14ac:dyDescent="0.25">
      <c r="A15" s="122">
        <f t="shared" si="6"/>
        <v>41974</v>
      </c>
      <c r="C15" s="125">
        <v>769.64</v>
      </c>
      <c r="D15" s="111">
        <f t="shared" si="2"/>
        <v>1.4673504634085344E-2</v>
      </c>
      <c r="E15" s="127">
        <f t="shared" si="1"/>
        <v>769.64</v>
      </c>
      <c r="G15" s="122">
        <f t="shared" si="3"/>
        <v>42795</v>
      </c>
      <c r="H15">
        <f>+AVERAGE($E$133:$E$135)/AVERAGE(E40:E42)</f>
        <v>72.07476532061483</v>
      </c>
      <c r="I15" s="123">
        <f t="shared" si="4"/>
        <v>-5.1754048051533497E-2</v>
      </c>
      <c r="J15">
        <v>13.446086420628284</v>
      </c>
      <c r="K15" s="123">
        <f t="shared" si="5"/>
        <v>-6.0633321338610879E-2</v>
      </c>
      <c r="M15" s="153">
        <f t="shared" si="0"/>
        <v>78.444852863749503</v>
      </c>
      <c r="N15" s="123"/>
      <c r="P15">
        <v>78.444852863749503</v>
      </c>
    </row>
    <row r="16" spans="1:16" x14ac:dyDescent="0.25">
      <c r="A16" s="122">
        <f t="shared" si="6"/>
        <v>42005</v>
      </c>
      <c r="C16" s="125">
        <v>780.99</v>
      </c>
      <c r="D16" s="111">
        <f t="shared" si="2"/>
        <v>1.474715451379871E-2</v>
      </c>
      <c r="E16" s="127">
        <f t="shared" si="1"/>
        <v>780.99</v>
      </c>
      <c r="G16" s="122">
        <f t="shared" si="3"/>
        <v>42887</v>
      </c>
      <c r="H16">
        <f>+AVERAGE($E$133:$E$135)/AVERAGE(E43:E45)</f>
        <v>67.706918228077853</v>
      </c>
      <c r="I16" s="123">
        <f t="shared" si="4"/>
        <v>-6.0601613797938825E-2</v>
      </c>
      <c r="J16">
        <v>12.727396684747387</v>
      </c>
      <c r="K16" s="123">
        <f t="shared" si="5"/>
        <v>-5.3449733505975483E-2</v>
      </c>
      <c r="M16" s="153">
        <f t="shared" si="0"/>
        <v>74.434717021903182</v>
      </c>
      <c r="N16" s="123"/>
      <c r="P16">
        <v>74.434717021903182</v>
      </c>
    </row>
    <row r="17" spans="1:16" x14ac:dyDescent="0.25">
      <c r="A17" s="122">
        <f t="shared" si="6"/>
        <v>42036</v>
      </c>
      <c r="C17" s="125">
        <v>792.74</v>
      </c>
      <c r="D17" s="111">
        <f t="shared" si="2"/>
        <v>1.5045006978322339E-2</v>
      </c>
      <c r="E17" s="127">
        <f t="shared" si="1"/>
        <v>792.74</v>
      </c>
      <c r="G17" s="122">
        <f t="shared" si="3"/>
        <v>42979</v>
      </c>
      <c r="H17">
        <f>+AVERAGE($E$133:$E$135)/AVERAGE(E46:E48)</f>
        <v>64.726309226291335</v>
      </c>
      <c r="I17" s="123">
        <f t="shared" si="4"/>
        <v>-4.4022222245384546E-2</v>
      </c>
      <c r="J17">
        <v>12.057536986645186</v>
      </c>
      <c r="K17" s="123">
        <f t="shared" si="5"/>
        <v>-5.2631320818731564E-2</v>
      </c>
      <c r="M17" s="153">
        <f t="shared" si="0"/>
        <v>70.834111333313416</v>
      </c>
      <c r="N17" s="123"/>
      <c r="P17">
        <v>70.834111333313416</v>
      </c>
    </row>
    <row r="18" spans="1:16" x14ac:dyDescent="0.25">
      <c r="A18" s="122">
        <f t="shared" si="6"/>
        <v>42064</v>
      </c>
      <c r="C18" s="125">
        <v>808.61</v>
      </c>
      <c r="D18" s="111">
        <f t="shared" si="2"/>
        <v>2.0019174004087148E-2</v>
      </c>
      <c r="E18" s="127">
        <f t="shared" si="1"/>
        <v>808.61</v>
      </c>
      <c r="G18" s="122">
        <f t="shared" si="3"/>
        <v>43070</v>
      </c>
      <c r="H18">
        <f>+AVERAGE($E$133:$E$135)/AVERAGE(E49:E51)</f>
        <v>61.471235176579192</v>
      </c>
      <c r="I18" s="123">
        <f t="shared" si="4"/>
        <v>-5.0289813966249652E-2</v>
      </c>
      <c r="J18">
        <v>11.485513799432496</v>
      </c>
      <c r="K18" s="123">
        <f t="shared" si="5"/>
        <v>-4.7441130626118544E-2</v>
      </c>
      <c r="M18" s="153">
        <f t="shared" si="0"/>
        <v>66.754383161653564</v>
      </c>
      <c r="N18" s="123"/>
      <c r="P18">
        <v>66.754383161653564</v>
      </c>
    </row>
    <row r="19" spans="1:16" x14ac:dyDescent="0.25">
      <c r="A19" s="122">
        <f t="shared" si="6"/>
        <v>42095</v>
      </c>
      <c r="C19" s="125">
        <v>825.24</v>
      </c>
      <c r="D19" s="111">
        <f t="shared" si="2"/>
        <v>2.0566156738106134E-2</v>
      </c>
      <c r="E19" s="127">
        <f t="shared" si="1"/>
        <v>825.24</v>
      </c>
      <c r="G19" s="122">
        <f>+EDATE(G18,3)</f>
        <v>43160</v>
      </c>
      <c r="H19">
        <f>+AVERAGE($E$133:$E$135)/AVERAGE(E52:E54)</f>
        <v>57.532170400560389</v>
      </c>
      <c r="I19" s="123">
        <f t="shared" si="4"/>
        <v>-6.4079805208137497E-2</v>
      </c>
      <c r="J19">
        <v>10.554406787053709</v>
      </c>
      <c r="K19" s="123">
        <f t="shared" si="5"/>
        <v>-8.1067945991653678E-2</v>
      </c>
      <c r="M19" s="153">
        <f t="shared" si="0"/>
        <v>62.59741784372239</v>
      </c>
      <c r="N19" s="123"/>
      <c r="P19">
        <v>62.59741784372239</v>
      </c>
    </row>
    <row r="20" spans="1:16" x14ac:dyDescent="0.25">
      <c r="A20" s="122">
        <f t="shared" si="6"/>
        <v>42125</v>
      </c>
      <c r="C20" s="125">
        <v>840.29</v>
      </c>
      <c r="D20" s="111">
        <f t="shared" si="2"/>
        <v>1.8237118898744464E-2</v>
      </c>
      <c r="E20" s="127">
        <f t="shared" si="1"/>
        <v>840.29</v>
      </c>
      <c r="G20" s="122">
        <f t="shared" si="3"/>
        <v>43252</v>
      </c>
      <c r="H20">
        <f>+AVERAGE($E$133:$E$135)/AVERAGE(E55:E57)</f>
        <v>53.333897871173605</v>
      </c>
      <c r="I20" s="123">
        <f t="shared" si="4"/>
        <v>-7.2972608197411137E-2</v>
      </c>
      <c r="J20">
        <v>9.5689306435149799</v>
      </c>
      <c r="K20" s="123">
        <f t="shared" si="5"/>
        <v>-9.3371059446707982E-2</v>
      </c>
      <c r="M20" s="153">
        <f t="shared" si="0"/>
        <v>57.568044419947078</v>
      </c>
      <c r="N20" s="123"/>
      <c r="P20">
        <v>57.568044419947078</v>
      </c>
    </row>
    <row r="21" spans="1:16" x14ac:dyDescent="0.25">
      <c r="A21" s="122">
        <f t="shared" si="6"/>
        <v>42156</v>
      </c>
      <c r="C21" s="125">
        <v>856.74</v>
      </c>
      <c r="D21" s="111">
        <f t="shared" si="2"/>
        <v>1.9576574753954024E-2</v>
      </c>
      <c r="E21" s="127">
        <f t="shared" si="1"/>
        <v>856.74</v>
      </c>
      <c r="G21" s="122">
        <f t="shared" si="3"/>
        <v>43344</v>
      </c>
      <c r="H21">
        <f>+AVERAGE($E$133:$E$135)/AVERAGE(E58:E60)</f>
        <v>47.837107359622522</v>
      </c>
      <c r="I21" s="123">
        <f t="shared" si="4"/>
        <v>-0.10306373115327916</v>
      </c>
      <c r="J21">
        <v>8.3727761850591236</v>
      </c>
      <c r="K21" s="123">
        <f t="shared" si="5"/>
        <v>-0.12500398456399198</v>
      </c>
      <c r="M21" s="153">
        <f t="shared" si="0"/>
        <v>50.461209533123068</v>
      </c>
      <c r="N21" s="123"/>
      <c r="P21">
        <v>50.461209533123068</v>
      </c>
    </row>
    <row r="22" spans="1:16" x14ac:dyDescent="0.25">
      <c r="A22" s="122">
        <f t="shared" si="6"/>
        <v>42186</v>
      </c>
      <c r="C22" s="125">
        <v>866.25</v>
      </c>
      <c r="D22" s="111">
        <f t="shared" si="2"/>
        <v>1.1100217102038012E-2</v>
      </c>
      <c r="E22" s="127">
        <f t="shared" si="1"/>
        <v>866.25</v>
      </c>
      <c r="G22" s="122">
        <f t="shared" si="3"/>
        <v>43435</v>
      </c>
      <c r="H22">
        <f>+AVERAGE($E$133:$E$135)/AVERAGE(E61:E63)</f>
        <v>41.742481788896512</v>
      </c>
      <c r="I22" s="123">
        <f t="shared" si="4"/>
        <v>-0.1274037229071725</v>
      </c>
      <c r="J22">
        <v>7.471963674237208</v>
      </c>
      <c r="K22" s="123">
        <f t="shared" si="5"/>
        <v>-0.10758827071352728</v>
      </c>
      <c r="M22" s="153">
        <f t="shared" si="0"/>
        <v>45.215775848276245</v>
      </c>
      <c r="N22" s="123"/>
      <c r="P22">
        <v>45.215775848276245</v>
      </c>
    </row>
    <row r="23" spans="1:16" x14ac:dyDescent="0.25">
      <c r="A23" s="122">
        <f t="shared" si="6"/>
        <v>42217</v>
      </c>
      <c r="C23" s="125">
        <v>886.21</v>
      </c>
      <c r="D23" s="111">
        <f t="shared" si="2"/>
        <v>2.3041847041846975E-2</v>
      </c>
      <c r="E23" s="127">
        <f t="shared" si="1"/>
        <v>886.21</v>
      </c>
      <c r="G23" s="122">
        <f t="shared" si="3"/>
        <v>43525</v>
      </c>
      <c r="H23">
        <f>+AVERAGE($E$133:$E$135)/AVERAGE(E64:E66)</f>
        <v>37.895788971932177</v>
      </c>
      <c r="I23" s="123">
        <f t="shared" si="4"/>
        <v>-9.2152949515990512E-2</v>
      </c>
      <c r="J23">
        <v>6.7301633734570832</v>
      </c>
      <c r="K23" s="123">
        <f t="shared" si="5"/>
        <v>-9.927782482907388E-2</v>
      </c>
      <c r="M23" s="153">
        <f t="shared" si="0"/>
        <v>40.432498327708053</v>
      </c>
      <c r="N23" s="123"/>
      <c r="P23">
        <v>40.432498327708053</v>
      </c>
    </row>
    <row r="24" spans="1:16" x14ac:dyDescent="0.25">
      <c r="A24" s="122">
        <f t="shared" si="6"/>
        <v>42248</v>
      </c>
      <c r="C24" s="125">
        <v>903.18</v>
      </c>
      <c r="D24" s="111">
        <f t="shared" si="2"/>
        <v>1.9148960178738683E-2</v>
      </c>
      <c r="E24" s="127">
        <f t="shared" si="1"/>
        <v>903.18</v>
      </c>
      <c r="G24" s="122">
        <f t="shared" si="3"/>
        <v>43617</v>
      </c>
      <c r="H24">
        <f>+AVERAGE($E$133:$E$135)/AVERAGE(E67:E69)</f>
        <v>34.104453141097686</v>
      </c>
      <c r="I24" s="123">
        <f t="shared" si="4"/>
        <v>-0.10004636223941865</v>
      </c>
      <c r="J24">
        <v>6.1370062640075211</v>
      </c>
      <c r="K24" s="123">
        <f t="shared" si="5"/>
        <v>-8.8134132343487992E-2</v>
      </c>
      <c r="M24" s="153">
        <f t="shared" si="0"/>
        <v>36.930137923457913</v>
      </c>
      <c r="N24" s="123"/>
      <c r="P24">
        <v>36.930137923457913</v>
      </c>
    </row>
    <row r="25" spans="1:16" x14ac:dyDescent="0.25">
      <c r="A25" s="122">
        <f t="shared" si="6"/>
        <v>42278</v>
      </c>
      <c r="C25" s="125">
        <v>925.23</v>
      </c>
      <c r="D25" s="111">
        <f t="shared" si="2"/>
        <v>2.4413738125290685E-2</v>
      </c>
      <c r="E25" s="127">
        <f t="shared" si="1"/>
        <v>925.23</v>
      </c>
      <c r="G25" s="122">
        <f t="shared" si="3"/>
        <v>43709</v>
      </c>
      <c r="H25">
        <f>+AVERAGE($E$133:$E$135)/AVERAGE(E70:E72)</f>
        <v>30.99909003015382</v>
      </c>
      <c r="I25" s="123">
        <f t="shared" si="4"/>
        <v>-9.1054476026819486E-2</v>
      </c>
      <c r="J25">
        <v>5.4471201512400098</v>
      </c>
      <c r="K25" s="123">
        <f t="shared" si="5"/>
        <v>-0.1124141125313125</v>
      </c>
      <c r="M25" s="153">
        <f t="shared" si="0"/>
        <v>32.809584793952233</v>
      </c>
      <c r="N25" s="123"/>
      <c r="P25">
        <v>32.809584793952233</v>
      </c>
    </row>
    <row r="26" spans="1:16" x14ac:dyDescent="0.25">
      <c r="A26" s="122">
        <f t="shared" si="6"/>
        <v>42309</v>
      </c>
      <c r="C26" s="125">
        <v>938.03</v>
      </c>
      <c r="D26" s="111">
        <f t="shared" si="2"/>
        <v>1.3834397933486731E-2</v>
      </c>
      <c r="E26" s="127">
        <f t="shared" si="1"/>
        <v>938.03</v>
      </c>
      <c r="G26" s="122">
        <f t="shared" si="3"/>
        <v>43800</v>
      </c>
      <c r="H26">
        <f>+AVERAGE($E$133:$E$135)/AVERAGE(E73:E75)</f>
        <v>27.393268631389351</v>
      </c>
      <c r="I26" s="123">
        <f t="shared" si="4"/>
        <v>-0.11632023376353851</v>
      </c>
      <c r="J26">
        <v>4.8584125061970376</v>
      </c>
      <c r="K26" s="123">
        <f t="shared" si="5"/>
        <v>-0.10807686056070487</v>
      </c>
      <c r="M26" s="153">
        <f t="shared" si="0"/>
        <v>29.365496497402631</v>
      </c>
      <c r="N26" s="123"/>
      <c r="P26">
        <v>29.365496497402631</v>
      </c>
    </row>
    <row r="27" spans="1:16" x14ac:dyDescent="0.25">
      <c r="A27" s="122">
        <f>+EDATE(A26,1)</f>
        <v>42339</v>
      </c>
      <c r="C27" s="125">
        <v>964.96</v>
      </c>
      <c r="D27" s="111">
        <f t="shared" si="2"/>
        <v>2.870910312036945E-2</v>
      </c>
      <c r="E27" s="127">
        <f t="shared" si="1"/>
        <v>964.96</v>
      </c>
      <c r="G27" s="122">
        <f t="shared" si="3"/>
        <v>43891</v>
      </c>
      <c r="H27">
        <f>+AVERAGE($E$133:$E$135)/AVERAGE(E76:E78)</f>
        <v>25.167640980332592</v>
      </c>
      <c r="I27" s="123">
        <f t="shared" si="4"/>
        <v>-8.1247246577447862E-2</v>
      </c>
      <c r="J27">
        <v>4.4871206410969489</v>
      </c>
      <c r="K27" s="123">
        <f t="shared" si="5"/>
        <v>-7.6422466109350662E-2</v>
      </c>
      <c r="M27" s="153">
        <f t="shared" si="0"/>
        <v>27.243394613562746</v>
      </c>
      <c r="N27" s="123"/>
      <c r="P27">
        <v>27.243394613562746</v>
      </c>
    </row>
    <row r="28" spans="1:16" x14ac:dyDescent="0.25">
      <c r="A28" s="122">
        <f t="shared" si="6"/>
        <v>42370</v>
      </c>
      <c r="C28" s="125">
        <v>1027.54</v>
      </c>
      <c r="D28" s="111">
        <f t="shared" si="2"/>
        <v>6.4852429116232679E-2</v>
      </c>
      <c r="E28" s="127">
        <f t="shared" si="1"/>
        <v>1027.54</v>
      </c>
      <c r="G28" s="122">
        <f t="shared" si="3"/>
        <v>43983</v>
      </c>
      <c r="H28">
        <f>+AVERAGE($E$133:$E$135)/AVERAGE(E79:E81)</f>
        <v>23.697379013753793</v>
      </c>
      <c r="I28" s="123">
        <f t="shared" si="4"/>
        <v>-5.8418743644974347E-2</v>
      </c>
      <c r="J28">
        <v>4.295881608164879</v>
      </c>
      <c r="K28" s="123">
        <f t="shared" si="5"/>
        <v>-4.2619543406196114E-2</v>
      </c>
      <c r="M28" s="153">
        <f t="shared" si="0"/>
        <v>25.874873830415751</v>
      </c>
      <c r="N28" s="123"/>
      <c r="P28">
        <v>25.874873830415751</v>
      </c>
    </row>
    <row r="29" spans="1:16" x14ac:dyDescent="0.25">
      <c r="A29" s="122">
        <f t="shared" si="6"/>
        <v>42401</v>
      </c>
      <c r="C29" s="125">
        <v>1070.6199999999999</v>
      </c>
      <c r="D29" s="111">
        <f t="shared" si="2"/>
        <v>4.1925375167876533E-2</v>
      </c>
      <c r="E29" s="127">
        <f t="shared" si="1"/>
        <v>1070.6199999999999</v>
      </c>
      <c r="G29" s="122">
        <f t="shared" si="3"/>
        <v>44075</v>
      </c>
      <c r="H29">
        <f>+AVERAGE($E$133:$E$135)/AVERAGE(E82:E84)</f>
        <v>22.197370250748062</v>
      </c>
      <c r="I29" s="123">
        <f t="shared" si="4"/>
        <v>-6.3298509178383644E-2</v>
      </c>
      <c r="J29">
        <v>3.9922132064905664</v>
      </c>
      <c r="K29" s="123">
        <f t="shared" si="5"/>
        <v>-7.0688261309890699E-2</v>
      </c>
      <c r="M29" s="153">
        <f t="shared" si="0"/>
        <v>24.051407607909709</v>
      </c>
      <c r="N29" s="123"/>
      <c r="P29">
        <v>24.051407607909709</v>
      </c>
    </row>
    <row r="30" spans="1:16" x14ac:dyDescent="0.25">
      <c r="A30" s="122">
        <f t="shared" si="6"/>
        <v>42430</v>
      </c>
      <c r="C30" s="125">
        <v>1099.6600000000001</v>
      </c>
      <c r="D30" s="111">
        <f t="shared" si="2"/>
        <v>2.7124469933309747E-2</v>
      </c>
      <c r="E30" s="127">
        <f t="shared" si="1"/>
        <v>1099.6600000000001</v>
      </c>
      <c r="G30" s="122">
        <f t="shared" si="3"/>
        <v>44166</v>
      </c>
      <c r="H30">
        <f>+AVERAGE($E$133:$E$135)/AVERAGE(E85:E87)</f>
        <v>20.108468718158932</v>
      </c>
      <c r="I30" s="123">
        <f t="shared" si="4"/>
        <v>-9.4105811138539441E-2</v>
      </c>
      <c r="J30">
        <v>3.5717171558502021</v>
      </c>
      <c r="K30" s="123">
        <f t="shared" si="5"/>
        <v>-0.10532905656359215</v>
      </c>
      <c r="M30" s="153">
        <f t="shared" si="0"/>
        <v>21.58887980495432</v>
      </c>
      <c r="N30" s="123"/>
      <c r="P30">
        <v>21.58887980495432</v>
      </c>
    </row>
    <row r="31" spans="1:16" x14ac:dyDescent="0.25">
      <c r="A31" s="122">
        <f t="shared" si="6"/>
        <v>42461</v>
      </c>
      <c r="C31" s="125">
        <v>1132.3900000000001</v>
      </c>
      <c r="D31" s="111">
        <f t="shared" si="2"/>
        <v>2.9763745157594279E-2</v>
      </c>
      <c r="E31" s="127">
        <f t="shared" si="1"/>
        <v>1132.3900000000001</v>
      </c>
      <c r="G31" s="122">
        <f t="shared" si="3"/>
        <v>44256</v>
      </c>
      <c r="H31">
        <f>+AVERAGE($E$133:$E$135)/AVERAGE(E88:E90)</f>
        <v>17.92001341265949</v>
      </c>
      <c r="I31" s="123">
        <f t="shared" si="4"/>
        <v>-0.10883251908302494</v>
      </c>
      <c r="J31">
        <v>3.1907893654843473</v>
      </c>
      <c r="K31" s="123">
        <f t="shared" si="5"/>
        <v>-0.10665116350042558</v>
      </c>
      <c r="M31" s="153">
        <f t="shared" si="0"/>
        <v>19.119464795965964</v>
      </c>
      <c r="N31" s="123"/>
      <c r="P31">
        <v>19.119464795965964</v>
      </c>
    </row>
    <row r="32" spans="1:16" x14ac:dyDescent="0.25">
      <c r="A32" s="122">
        <f t="shared" si="6"/>
        <v>42491</v>
      </c>
      <c r="C32" s="125">
        <v>1170.83</v>
      </c>
      <c r="D32" s="111">
        <f t="shared" si="2"/>
        <v>3.3945902030219077E-2</v>
      </c>
      <c r="E32" s="127">
        <f t="shared" si="1"/>
        <v>1170.83</v>
      </c>
      <c r="G32" s="122">
        <f t="shared" si="3"/>
        <v>44348</v>
      </c>
      <c r="H32">
        <f>+AVERAGE($E$133:$E$135)/AVERAGE(E97:E99)</f>
        <v>13.290121016433073</v>
      </c>
      <c r="I32" s="123">
        <f t="shared" si="4"/>
        <v>-0.25836433766035327</v>
      </c>
      <c r="J32">
        <v>2.8304158515162743</v>
      </c>
      <c r="K32" s="123">
        <f t="shared" si="5"/>
        <v>-0.11294180614563065</v>
      </c>
      <c r="M32" s="153">
        <f t="shared" si="0"/>
        <v>17.228401440629845</v>
      </c>
      <c r="N32" s="123"/>
      <c r="P32">
        <v>17.228401440629845</v>
      </c>
    </row>
    <row r="33" spans="1:16" x14ac:dyDescent="0.25">
      <c r="A33" s="122">
        <f t="shared" si="6"/>
        <v>42522</v>
      </c>
      <c r="C33" s="125">
        <v>1219.8599999999999</v>
      </c>
      <c r="D33" s="111">
        <f t="shared" si="2"/>
        <v>4.1876275804343832E-2</v>
      </c>
      <c r="E33" s="127">
        <f t="shared" si="1"/>
        <v>1219.8599999999999</v>
      </c>
      <c r="G33" s="122">
        <f t="shared" si="3"/>
        <v>44440</v>
      </c>
      <c r="H33">
        <f>+AVERAGE($E$133:$E$135)/AVERAGE(E91:E93)</f>
        <v>15.971003268451206</v>
      </c>
      <c r="I33" s="123">
        <f t="shared" si="4"/>
        <v>0.20171992780978099</v>
      </c>
      <c r="J33">
        <v>2.5866618518668654</v>
      </c>
      <c r="K33" s="123">
        <f t="shared" si="5"/>
        <v>-8.6119500609363908E-2</v>
      </c>
      <c r="M33" s="153">
        <f t="shared" si="0"/>
        <v>15.766799425396327</v>
      </c>
      <c r="N33" s="123"/>
      <c r="P33">
        <v>15.766799425396327</v>
      </c>
    </row>
    <row r="34" spans="1:16" x14ac:dyDescent="0.25">
      <c r="A34" s="122">
        <f t="shared" si="6"/>
        <v>42552</v>
      </c>
      <c r="C34" s="125">
        <v>1237.74</v>
      </c>
      <c r="D34" s="111">
        <f t="shared" si="2"/>
        <v>1.4657419703900443E-2</v>
      </c>
      <c r="E34" s="127">
        <f t="shared" si="1"/>
        <v>1237.74</v>
      </c>
      <c r="G34" s="122">
        <f t="shared" si="3"/>
        <v>44531</v>
      </c>
      <c r="H34">
        <f>+AVERAGE($E$133:$E$135)/AVERAGE(E97:E99)</f>
        <v>13.290121016433073</v>
      </c>
      <c r="I34" s="123">
        <f t="shared" si="4"/>
        <v>-0.16785935153578568</v>
      </c>
      <c r="J34">
        <v>2.3522072803942478</v>
      </c>
      <c r="K34" s="123">
        <f t="shared" si="5"/>
        <v>-9.0639822636037759E-2</v>
      </c>
      <c r="M34" s="153">
        <f t="shared" si="0"/>
        <v>14.317987342669454</v>
      </c>
      <c r="N34" s="123"/>
      <c r="P34">
        <v>14.317987342669454</v>
      </c>
    </row>
    <row r="35" spans="1:16" x14ac:dyDescent="0.25">
      <c r="A35" s="122">
        <f>+EDATE(A34,1)</f>
        <v>42583</v>
      </c>
      <c r="C35" s="125">
        <v>1265.75</v>
      </c>
      <c r="D35" s="111">
        <f t="shared" si="2"/>
        <v>2.2629954594664436E-2</v>
      </c>
      <c r="E35" s="127">
        <f t="shared" si="1"/>
        <v>1265.75</v>
      </c>
      <c r="G35" s="122">
        <f t="shared" si="3"/>
        <v>44621</v>
      </c>
      <c r="H35">
        <f>+AVERAGE($E$133:$E$135)/AVERAGE(E100:E102)</f>
        <v>11.736703177293876</v>
      </c>
      <c r="I35" s="123">
        <f t="shared" si="4"/>
        <v>-0.11688515380848785</v>
      </c>
      <c r="J35">
        <v>2.0250379699214869</v>
      </c>
      <c r="K35" s="123">
        <f t="shared" si="5"/>
        <v>-0.13909034003921827</v>
      </c>
      <c r="M35" s="153">
        <f t="shared" si="0"/>
        <v>12.335459322653106</v>
      </c>
      <c r="N35" s="123"/>
      <c r="P35">
        <v>12.335459322653106</v>
      </c>
    </row>
    <row r="36" spans="1:16" x14ac:dyDescent="0.25">
      <c r="A36" s="122">
        <f t="shared" si="6"/>
        <v>42614</v>
      </c>
      <c r="C36" s="126">
        <v>1273.8</v>
      </c>
      <c r="D36" s="111">
        <f t="shared" si="2"/>
        <v>6.3598656922772001E-3</v>
      </c>
      <c r="E36" s="127">
        <f t="shared" si="1"/>
        <v>1273.8</v>
      </c>
      <c r="G36" s="122">
        <f t="shared" si="3"/>
        <v>44713</v>
      </c>
      <c r="H36">
        <f>+AVERAGE($E$133:$E$135)/AVERAGE(E103:E105)</f>
        <v>9.9314989618380736</v>
      </c>
      <c r="I36" s="123">
        <f t="shared" si="4"/>
        <v>-0.15380845780850927</v>
      </c>
      <c r="J36">
        <v>1.7020229637441926</v>
      </c>
      <c r="K36" s="123">
        <f t="shared" si="5"/>
        <v>-0.1595105923815433</v>
      </c>
      <c r="M36" s="153">
        <f t="shared" si="0"/>
        <v>10.515220231704292</v>
      </c>
      <c r="N36" s="123"/>
      <c r="P36">
        <v>10.515220231704292</v>
      </c>
    </row>
    <row r="37" spans="1:16" x14ac:dyDescent="0.25">
      <c r="A37" s="122">
        <f>+EDATE(A36,1)</f>
        <v>42644</v>
      </c>
      <c r="C37" s="126">
        <v>1295.28</v>
      </c>
      <c r="D37" s="111">
        <f t="shared" si="2"/>
        <v>1.6862929816297667E-2</v>
      </c>
      <c r="E37" s="127">
        <f t="shared" si="1"/>
        <v>1295.28</v>
      </c>
      <c r="G37" s="122">
        <f t="shared" si="3"/>
        <v>44805</v>
      </c>
      <c r="H37">
        <f>+AVERAGE($E$133:$E$135)/AVERAGE(E106:E108)</f>
        <v>8.2288877785098329</v>
      </c>
      <c r="I37" s="123">
        <f t="shared" si="4"/>
        <v>-0.17143546909389495</v>
      </c>
      <c r="J37">
        <v>1.3964264161959772</v>
      </c>
      <c r="K37" s="123">
        <f t="shared" si="5"/>
        <v>-0.1795490155291144</v>
      </c>
      <c r="M37" s="153">
        <f t="shared" si="0"/>
        <v>8.6160021215031364</v>
      </c>
      <c r="N37" s="123"/>
      <c r="P37">
        <v>8.6160021215031364</v>
      </c>
    </row>
    <row r="38" spans="1:16" x14ac:dyDescent="0.25">
      <c r="A38" s="122">
        <f t="shared" ref="A38:A44" si="7">+EDATE(A37,1)</f>
        <v>42675</v>
      </c>
      <c r="C38" s="126">
        <v>1321.6</v>
      </c>
      <c r="D38" s="111">
        <f t="shared" si="2"/>
        <v>2.0319930825767329E-2</v>
      </c>
      <c r="E38" s="127">
        <f t="shared" si="1"/>
        <v>1321.6</v>
      </c>
      <c r="G38" s="122">
        <f t="shared" si="3"/>
        <v>44896</v>
      </c>
      <c r="H38">
        <f>+AVERAGE($E$133:$E$135)/AVERAGE(E109:E111)</f>
        <v>6.9309374596511448</v>
      </c>
      <c r="I38" s="123">
        <f t="shared" si="4"/>
        <v>-0.15773095390222147</v>
      </c>
      <c r="J38">
        <v>1.19454868112954</v>
      </c>
      <c r="K38" s="123">
        <f t="shared" si="5"/>
        <v>-0.1445673991303994</v>
      </c>
      <c r="M38" s="153">
        <f t="shared" si="0"/>
        <v>7.3518109116398307</v>
      </c>
      <c r="N38" s="123"/>
      <c r="P38">
        <v>7.3518109116398307</v>
      </c>
    </row>
    <row r="39" spans="1:16" x14ac:dyDescent="0.25">
      <c r="A39" s="122">
        <f t="shared" si="7"/>
        <v>42705</v>
      </c>
      <c r="C39" s="126">
        <v>1339.02</v>
      </c>
      <c r="D39" s="111">
        <f t="shared" si="2"/>
        <v>1.3180992736077535E-2</v>
      </c>
      <c r="E39" s="127">
        <f t="shared" si="1"/>
        <v>1339.02</v>
      </c>
      <c r="G39" s="122">
        <f t="shared" si="3"/>
        <v>44986</v>
      </c>
      <c r="H39">
        <f>+AVERAGE($E$133:$E$135)/AVERAGE(E112:E114)</f>
        <v>5.8152465409038703</v>
      </c>
      <c r="I39" s="123">
        <f t="shared" si="4"/>
        <v>-0.16097258491255106</v>
      </c>
      <c r="J39">
        <v>1</v>
      </c>
      <c r="K39" s="123">
        <f t="shared" si="5"/>
        <v>-0.16286375281548082</v>
      </c>
      <c r="M39" s="153">
        <f t="shared" si="0"/>
        <v>6.0410934683744983</v>
      </c>
      <c r="N39" s="123"/>
      <c r="P39">
        <v>6.0410934683744983</v>
      </c>
    </row>
    <row r="40" spans="1:16" x14ac:dyDescent="0.25">
      <c r="A40" s="122">
        <f t="shared" si="7"/>
        <v>42736</v>
      </c>
      <c r="B40" s="111">
        <v>1.6E-2</v>
      </c>
      <c r="C40" s="126">
        <v>1350.48</v>
      </c>
      <c r="D40" s="111">
        <f t="shared" si="2"/>
        <v>8.5584980060045002E-3</v>
      </c>
      <c r="E40" s="127">
        <f>+E39*(1+B40)</f>
        <v>1360.4443200000001</v>
      </c>
      <c r="G40" s="122">
        <f t="shared" si="3"/>
        <v>45078</v>
      </c>
      <c r="H40">
        <f>+AVERAGE($E$133:$E$135)/AVERAGE(E115:E117)</f>
        <v>4.6631063208666017</v>
      </c>
      <c r="I40" s="123">
        <f t="shared" si="4"/>
        <v>-0.19812405405914058</v>
      </c>
      <c r="K40" s="123">
        <f t="shared" si="5"/>
        <v>-1</v>
      </c>
      <c r="M40" s="153">
        <f t="shared" si="0"/>
        <v>4.8770998479189416</v>
      </c>
      <c r="N40" s="123"/>
      <c r="P40">
        <v>4.8770998479189416</v>
      </c>
    </row>
    <row r="41" spans="1:16" x14ac:dyDescent="0.25">
      <c r="A41" s="122">
        <f t="shared" si="7"/>
        <v>42767</v>
      </c>
      <c r="B41" s="111">
        <v>2.1000000000000001E-2</v>
      </c>
      <c r="C41" s="126">
        <v>1366.86</v>
      </c>
      <c r="D41" s="111">
        <f t="shared" si="2"/>
        <v>1.2129020792607026E-2</v>
      </c>
      <c r="E41" s="127">
        <f t="shared" ref="E41:E104" si="8">+E40*(1+B41)</f>
        <v>1389.01365072</v>
      </c>
      <c r="G41" s="122">
        <f t="shared" si="3"/>
        <v>45170</v>
      </c>
      <c r="H41">
        <f>+AVERAGE($E$133:$E$135)/AVERAGE(E118:E120)</f>
        <v>3.6464435033025264</v>
      </c>
      <c r="I41" s="123">
        <f>+H41/H40-1</f>
        <v>-0.21802265434409751</v>
      </c>
      <c r="K41" s="123" t="e">
        <f>+J41/J40-1</f>
        <v>#DIV/0!</v>
      </c>
      <c r="M41" s="153">
        <f t="shared" si="0"/>
        <v>3.6219141755293576</v>
      </c>
      <c r="N41" s="123"/>
      <c r="P41">
        <v>3.6219141755293576</v>
      </c>
    </row>
    <row r="42" spans="1:16" x14ac:dyDescent="0.25">
      <c r="A42" s="122">
        <f t="shared" si="7"/>
        <v>42795</v>
      </c>
      <c r="B42" s="111">
        <v>2.4E-2</v>
      </c>
      <c r="C42" s="126">
        <v>1390.12</v>
      </c>
      <c r="D42" s="111">
        <f t="shared" si="2"/>
        <v>1.7017104897355972E-2</v>
      </c>
      <c r="E42" s="127">
        <f t="shared" si="8"/>
        <v>1422.3499783372799</v>
      </c>
      <c r="G42" s="122">
        <f t="shared" si="3"/>
        <v>45261</v>
      </c>
      <c r="H42">
        <f>+AVERAGE($E$133:$E$135)/AVERAGE(E121:E123)</f>
        <v>2.5432949224603432</v>
      </c>
      <c r="M42" s="153">
        <f t="shared" si="0"/>
        <v>2.3624187072782181</v>
      </c>
      <c r="N42" s="123"/>
      <c r="P42">
        <v>2.3624187072782181</v>
      </c>
    </row>
    <row r="43" spans="1:16" x14ac:dyDescent="0.25">
      <c r="A43" s="122">
        <f t="shared" si="7"/>
        <v>42826</v>
      </c>
      <c r="B43" s="111">
        <v>2.7000000000000003E-2</v>
      </c>
      <c r="C43" s="126">
        <v>1433.32</v>
      </c>
      <c r="D43" s="111">
        <f t="shared" si="2"/>
        <v>3.1076453831323958E-2</v>
      </c>
      <c r="E43" s="127">
        <f t="shared" si="8"/>
        <v>1460.7534277523864</v>
      </c>
      <c r="G43" s="122">
        <f t="shared" si="3"/>
        <v>45352</v>
      </c>
      <c r="H43">
        <f>+AVERAGE($E$133:$E$135)/AVERAGE(E124:E126)</f>
        <v>1.5578876443387606</v>
      </c>
      <c r="M43" s="153">
        <f t="shared" si="0"/>
        <v>1.5589786210965846</v>
      </c>
      <c r="P43">
        <v>1.5589786210965846</v>
      </c>
    </row>
    <row r="44" spans="1:16" x14ac:dyDescent="0.25">
      <c r="A44" s="122">
        <f t="shared" si="7"/>
        <v>42856</v>
      </c>
      <c r="B44" s="111">
        <v>1.3999999999999999E-2</v>
      </c>
      <c r="C44" s="126">
        <v>1467.76</v>
      </c>
      <c r="D44" s="111">
        <f t="shared" si="2"/>
        <v>2.4028130494237132E-2</v>
      </c>
      <c r="E44" s="127">
        <f t="shared" si="8"/>
        <v>1481.2039757409198</v>
      </c>
      <c r="G44" s="122">
        <f t="shared" si="3"/>
        <v>45444</v>
      </c>
      <c r="H44">
        <f>+AVERAGE($E$133:$E$135)/AVERAGE(E127:E129)</f>
        <v>1.232921883513818</v>
      </c>
      <c r="M44" s="153">
        <f t="shared" si="0"/>
        <v>1.3146551913672613</v>
      </c>
      <c r="P44">
        <v>1.3146551913672613</v>
      </c>
    </row>
    <row r="45" spans="1:16" x14ac:dyDescent="0.25">
      <c r="A45" s="122">
        <f t="shared" ref="A45:A105" si="9">+EDATE(A44,1)</f>
        <v>42887</v>
      </c>
      <c r="B45" s="111">
        <v>1.2E-2</v>
      </c>
      <c r="C45" s="126">
        <v>1492.43</v>
      </c>
      <c r="D45" s="111">
        <f t="shared" si="2"/>
        <v>1.6807925001362634E-2</v>
      </c>
      <c r="E45" s="127">
        <f t="shared" si="8"/>
        <v>1498.9784234498109</v>
      </c>
      <c r="G45" s="122">
        <f t="shared" si="3"/>
        <v>45536</v>
      </c>
      <c r="H45">
        <f>+AVERAGE($E$133:$E$135)/AVERAGE(E130:E132)</f>
        <v>1.0916794390656277</v>
      </c>
      <c r="M45" s="153">
        <f t="shared" si="0"/>
        <v>1.1721156176442815</v>
      </c>
      <c r="P45">
        <v>1.1721156176442815</v>
      </c>
    </row>
    <row r="46" spans="1:16" x14ac:dyDescent="0.25">
      <c r="A46" s="122">
        <f t="shared" si="9"/>
        <v>42917</v>
      </c>
      <c r="B46" s="111">
        <v>1.7000000000000001E-2</v>
      </c>
      <c r="C46" s="126">
        <v>1507.73</v>
      </c>
      <c r="D46" s="111">
        <f t="shared" si="2"/>
        <v>1.0251737099897351E-2</v>
      </c>
      <c r="E46" s="127">
        <f t="shared" si="8"/>
        <v>1524.4610566484575</v>
      </c>
      <c r="G46" s="122">
        <f t="shared" si="3"/>
        <v>45627</v>
      </c>
      <c r="H46">
        <f>+AVERAGE($E$133:$E$135)/AVERAGE(E133:E135)</f>
        <v>1</v>
      </c>
      <c r="M46" s="153">
        <f t="shared" si="0"/>
        <v>1.0852495359999998</v>
      </c>
      <c r="P46">
        <v>1.0852495359999998</v>
      </c>
    </row>
    <row r="47" spans="1:16" x14ac:dyDescent="0.25">
      <c r="A47" s="122">
        <f t="shared" si="9"/>
        <v>42948</v>
      </c>
      <c r="B47" s="111">
        <v>1.3999999999999999E-2</v>
      </c>
      <c r="C47" s="126">
        <v>1530.15</v>
      </c>
      <c r="D47" s="111">
        <f t="shared" si="2"/>
        <v>1.487003641235507E-2</v>
      </c>
      <c r="E47" s="127">
        <f t="shared" si="8"/>
        <v>1545.8035114415359</v>
      </c>
      <c r="G47" s="122">
        <f t="shared" si="3"/>
        <v>45717</v>
      </c>
      <c r="M47" s="153">
        <f>+_xlfn.XLOOKUP($G$47,$A:$A,$E:$E)/_xlfn.XLOOKUP(G47,$A:$A,$E:$E)</f>
        <v>1</v>
      </c>
      <c r="P47">
        <v>1</v>
      </c>
    </row>
    <row r="48" spans="1:16" x14ac:dyDescent="0.25">
      <c r="A48" s="122">
        <f t="shared" si="9"/>
        <v>42979</v>
      </c>
      <c r="B48" s="111">
        <v>1.9E-2</v>
      </c>
      <c r="C48" s="126">
        <v>1552.09</v>
      </c>
      <c r="D48" s="111">
        <f t="shared" si="2"/>
        <v>1.4338463549325109E-2</v>
      </c>
      <c r="E48" s="127">
        <f t="shared" si="8"/>
        <v>1575.173778158925</v>
      </c>
    </row>
    <row r="49" spans="1:5" x14ac:dyDescent="0.25">
      <c r="A49" s="122">
        <f t="shared" si="9"/>
        <v>43009</v>
      </c>
      <c r="B49" s="111">
        <v>1.4999999999999999E-2</v>
      </c>
      <c r="C49" s="126">
        <v>1580.79</v>
      </c>
      <c r="D49" s="111">
        <f t="shared" si="2"/>
        <v>1.8491195742514899E-2</v>
      </c>
      <c r="E49" s="127">
        <f t="shared" si="8"/>
        <v>1598.8013848313087</v>
      </c>
    </row>
    <row r="50" spans="1:5" x14ac:dyDescent="0.25">
      <c r="A50" s="122">
        <f t="shared" si="9"/>
        <v>43040</v>
      </c>
      <c r="B50" s="111">
        <v>1.3999999999999999E-2</v>
      </c>
      <c r="C50" s="126">
        <v>1606.59</v>
      </c>
      <c r="D50" s="111">
        <f t="shared" si="2"/>
        <v>1.632095344732698E-2</v>
      </c>
      <c r="E50" s="127">
        <f t="shared" si="8"/>
        <v>1621.184604218947</v>
      </c>
    </row>
    <row r="51" spans="1:5" x14ac:dyDescent="0.25">
      <c r="A51" s="122">
        <f t="shared" si="9"/>
        <v>43070</v>
      </c>
      <c r="B51" s="111">
        <v>3.1E-2</v>
      </c>
      <c r="C51" s="126">
        <v>1630.3</v>
      </c>
      <c r="D51" s="111">
        <f t="shared" si="2"/>
        <v>1.4757965629065284E-2</v>
      </c>
      <c r="E51" s="127">
        <f t="shared" si="8"/>
        <v>1671.4413269497343</v>
      </c>
    </row>
    <row r="52" spans="1:5" x14ac:dyDescent="0.25">
      <c r="A52" s="122">
        <f t="shared" si="9"/>
        <v>43101</v>
      </c>
      <c r="B52" s="111">
        <v>1.8000000000000002E-2</v>
      </c>
      <c r="C52" s="126">
        <v>1678.94</v>
      </c>
      <c r="D52" s="111">
        <f t="shared" si="2"/>
        <v>2.9834999693308051E-2</v>
      </c>
      <c r="E52" s="127">
        <f t="shared" si="8"/>
        <v>1701.5272708348296</v>
      </c>
    </row>
    <row r="53" spans="1:5" x14ac:dyDescent="0.25">
      <c r="A53" s="122">
        <f t="shared" si="9"/>
        <v>43132</v>
      </c>
      <c r="B53" s="111">
        <v>2.4E-2</v>
      </c>
      <c r="C53" s="126">
        <v>1703.2</v>
      </c>
      <c r="D53" s="111">
        <f t="shared" si="2"/>
        <v>1.4449593195706711E-2</v>
      </c>
      <c r="E53" s="127">
        <f t="shared" si="8"/>
        <v>1742.3639253348656</v>
      </c>
    </row>
    <row r="54" spans="1:5" x14ac:dyDescent="0.25">
      <c r="A54" s="122">
        <f t="shared" si="9"/>
        <v>43160</v>
      </c>
      <c r="B54" s="111">
        <v>2.3E-2</v>
      </c>
      <c r="C54" s="126">
        <v>1745.32</v>
      </c>
      <c r="D54" s="111">
        <f t="shared" si="2"/>
        <v>2.4729920150305285E-2</v>
      </c>
      <c r="E54" s="127">
        <f t="shared" si="8"/>
        <v>1782.4382956175673</v>
      </c>
    </row>
    <row r="55" spans="1:5" x14ac:dyDescent="0.25">
      <c r="A55" s="122">
        <f t="shared" si="9"/>
        <v>43191</v>
      </c>
      <c r="B55" s="111">
        <v>2.7000000000000003E-2</v>
      </c>
      <c r="C55" s="126">
        <v>1794.98</v>
      </c>
      <c r="D55" s="111">
        <f t="shared" si="2"/>
        <v>2.8453234936859806E-2</v>
      </c>
      <c r="E55" s="127">
        <f t="shared" si="8"/>
        <v>1830.5641295992414</v>
      </c>
    </row>
    <row r="56" spans="1:5" x14ac:dyDescent="0.25">
      <c r="A56" s="122">
        <f t="shared" si="9"/>
        <v>43221</v>
      </c>
      <c r="B56" s="111">
        <v>2.1000000000000001E-2</v>
      </c>
      <c r="C56" s="126">
        <v>1839.78</v>
      </c>
      <c r="D56" s="111">
        <f t="shared" si="2"/>
        <v>2.4958495359279853E-2</v>
      </c>
      <c r="E56" s="127">
        <f t="shared" si="8"/>
        <v>1869.0059763208253</v>
      </c>
    </row>
    <row r="57" spans="1:5" x14ac:dyDescent="0.25">
      <c r="A57" s="122">
        <f t="shared" si="9"/>
        <v>43252</v>
      </c>
      <c r="B57" s="111">
        <v>3.7000000000000005E-2</v>
      </c>
      <c r="C57" s="126">
        <v>1886.48</v>
      </c>
      <c r="D57" s="111">
        <f t="shared" si="2"/>
        <v>2.5383469762689126E-2</v>
      </c>
      <c r="E57" s="127">
        <f t="shared" si="8"/>
        <v>1938.1591974446958</v>
      </c>
    </row>
    <row r="58" spans="1:5" x14ac:dyDescent="0.25">
      <c r="A58" s="122">
        <f t="shared" si="9"/>
        <v>43282</v>
      </c>
      <c r="B58" s="111">
        <v>3.1E-2</v>
      </c>
      <c r="C58" s="126">
        <v>1963.53</v>
      </c>
      <c r="D58" s="111">
        <f t="shared" si="2"/>
        <v>4.084326364445956E-2</v>
      </c>
      <c r="E58" s="127">
        <f t="shared" si="8"/>
        <v>1998.2421325654811</v>
      </c>
    </row>
    <row r="59" spans="1:5" x14ac:dyDescent="0.25">
      <c r="A59" s="122">
        <f t="shared" si="9"/>
        <v>43313</v>
      </c>
      <c r="B59" s="111">
        <v>3.9E-2</v>
      </c>
      <c r="C59" s="126">
        <v>2034.03</v>
      </c>
      <c r="D59" s="111">
        <f t="shared" si="2"/>
        <v>3.5904722616919571E-2</v>
      </c>
      <c r="E59" s="127">
        <f t="shared" si="8"/>
        <v>2076.1735757355345</v>
      </c>
    </row>
    <row r="60" spans="1:5" x14ac:dyDescent="0.25">
      <c r="A60" s="122">
        <f t="shared" si="9"/>
        <v>43344</v>
      </c>
      <c r="B60" s="111">
        <v>6.5000000000000002E-2</v>
      </c>
      <c r="C60" s="126">
        <v>2102.36</v>
      </c>
      <c r="D60" s="111">
        <f t="shared" si="2"/>
        <v>3.3593408160154992E-2</v>
      </c>
      <c r="E60" s="127">
        <f t="shared" si="8"/>
        <v>2211.1248581583441</v>
      </c>
    </row>
    <row r="61" spans="1:5" x14ac:dyDescent="0.25">
      <c r="A61" s="122">
        <f t="shared" si="9"/>
        <v>43374</v>
      </c>
      <c r="B61" s="111">
        <v>5.4000000000000006E-2</v>
      </c>
      <c r="C61" s="126">
        <v>2264.6799999999998</v>
      </c>
      <c r="D61" s="111">
        <f t="shared" si="2"/>
        <v>7.7208470480792935E-2</v>
      </c>
      <c r="E61" s="127">
        <f t="shared" si="8"/>
        <v>2330.5256004988946</v>
      </c>
    </row>
    <row r="62" spans="1:5" x14ac:dyDescent="0.25">
      <c r="A62" s="122">
        <f t="shared" si="9"/>
        <v>43405</v>
      </c>
      <c r="B62" s="111">
        <v>3.2000000000000001E-2</v>
      </c>
      <c r="C62" s="126">
        <v>2382.64</v>
      </c>
      <c r="D62" s="111">
        <f t="shared" si="2"/>
        <v>5.208682904427997E-2</v>
      </c>
      <c r="E62" s="127">
        <f t="shared" si="8"/>
        <v>2405.1024197148595</v>
      </c>
    </row>
    <row r="63" spans="1:5" x14ac:dyDescent="0.25">
      <c r="A63" s="122">
        <f t="shared" si="9"/>
        <v>43435</v>
      </c>
      <c r="B63" s="111">
        <v>2.6000000000000002E-2</v>
      </c>
      <c r="C63" s="126">
        <v>2466.4499999999998</v>
      </c>
      <c r="D63" s="111">
        <f t="shared" si="2"/>
        <v>3.517526777020441E-2</v>
      </c>
      <c r="E63" s="127">
        <f t="shared" si="8"/>
        <v>2467.6350826274461</v>
      </c>
    </row>
    <row r="64" spans="1:5" x14ac:dyDescent="0.25">
      <c r="A64" s="122">
        <f t="shared" si="9"/>
        <v>43466</v>
      </c>
      <c r="B64" s="111">
        <v>2.8999999999999998E-2</v>
      </c>
      <c r="C64" s="126">
        <v>2517.89</v>
      </c>
      <c r="D64" s="111">
        <f t="shared" si="2"/>
        <v>2.0855885989985667E-2</v>
      </c>
      <c r="E64" s="127">
        <f t="shared" si="8"/>
        <v>2539.1965000236419</v>
      </c>
    </row>
    <row r="65" spans="1:5" x14ac:dyDescent="0.25">
      <c r="A65" s="122">
        <f t="shared" si="9"/>
        <v>43497</v>
      </c>
      <c r="B65" s="111">
        <v>3.7999999999999999E-2</v>
      </c>
      <c r="C65" s="126">
        <v>2609.62</v>
      </c>
      <c r="D65" s="111">
        <f t="shared" si="2"/>
        <v>3.6431297634130111E-2</v>
      </c>
      <c r="E65" s="127">
        <f t="shared" si="8"/>
        <v>2635.6859670245403</v>
      </c>
    </row>
    <row r="66" spans="1:5" x14ac:dyDescent="0.25">
      <c r="A66" s="122">
        <f t="shared" si="9"/>
        <v>43525</v>
      </c>
      <c r="B66" s="111">
        <v>4.7E-2</v>
      </c>
      <c r="C66" s="126">
        <v>2708.13</v>
      </c>
      <c r="D66" s="111">
        <f t="shared" si="2"/>
        <v>3.7748791011718241E-2</v>
      </c>
      <c r="E66" s="127">
        <f t="shared" si="8"/>
        <v>2759.5632074746936</v>
      </c>
    </row>
    <row r="67" spans="1:5" x14ac:dyDescent="0.25">
      <c r="A67" s="122">
        <f t="shared" si="9"/>
        <v>43556</v>
      </c>
      <c r="B67" s="111">
        <v>3.4000000000000002E-2</v>
      </c>
      <c r="C67" s="126">
        <v>2835.66</v>
      </c>
      <c r="D67" s="111">
        <f t="shared" si="2"/>
        <v>4.7091535487587377E-2</v>
      </c>
      <c r="E67" s="127">
        <f t="shared" si="8"/>
        <v>2853.3883565288334</v>
      </c>
    </row>
    <row r="68" spans="1:5" x14ac:dyDescent="0.25">
      <c r="A68" s="122">
        <f t="shared" si="9"/>
        <v>43586</v>
      </c>
      <c r="B68" s="111">
        <v>3.1E-2</v>
      </c>
      <c r="C68" s="126">
        <v>2933.41</v>
      </c>
      <c r="D68" s="111">
        <f t="shared" si="2"/>
        <v>3.4471692657088715E-2</v>
      </c>
      <c r="E68" s="127">
        <f t="shared" si="8"/>
        <v>2941.843395581227</v>
      </c>
    </row>
    <row r="69" spans="1:5" x14ac:dyDescent="0.25">
      <c r="A69" s="122">
        <f t="shared" si="9"/>
        <v>43617</v>
      </c>
      <c r="B69" s="111">
        <v>2.7000000000000003E-2</v>
      </c>
      <c r="C69" s="126">
        <v>3035.33</v>
      </c>
      <c r="D69" s="111">
        <f t="shared" ref="D69:D123" si="10">+C69/C68-1</f>
        <v>3.4744546449354097E-2</v>
      </c>
      <c r="E69" s="127">
        <f t="shared" si="8"/>
        <v>3021.2731672619198</v>
      </c>
    </row>
    <row r="70" spans="1:5" x14ac:dyDescent="0.25">
      <c r="A70" s="122">
        <f t="shared" si="9"/>
        <v>43647</v>
      </c>
      <c r="B70" s="111">
        <v>2.2000000000000002E-2</v>
      </c>
      <c r="C70" s="126">
        <v>3104.39</v>
      </c>
      <c r="D70" s="111">
        <f t="shared" si="10"/>
        <v>2.2752056613284166E-2</v>
      </c>
      <c r="E70" s="127">
        <f t="shared" si="8"/>
        <v>3087.7411769416822</v>
      </c>
    </row>
    <row r="71" spans="1:5" x14ac:dyDescent="0.25">
      <c r="A71" s="122">
        <f t="shared" si="9"/>
        <v>43678</v>
      </c>
      <c r="B71" s="111">
        <v>0.04</v>
      </c>
      <c r="C71" s="126">
        <v>3151.61</v>
      </c>
      <c r="D71" s="111">
        <f t="shared" si="10"/>
        <v>1.521071772554361E-2</v>
      </c>
      <c r="E71" s="127">
        <f t="shared" si="8"/>
        <v>3211.2508240193497</v>
      </c>
    </row>
    <row r="72" spans="1:5" x14ac:dyDescent="0.25">
      <c r="A72" s="122">
        <f t="shared" si="9"/>
        <v>43709</v>
      </c>
      <c r="B72" s="111">
        <v>5.9000000000000004E-2</v>
      </c>
      <c r="C72" s="126">
        <v>3302.07</v>
      </c>
      <c r="D72" s="111">
        <f t="shared" si="10"/>
        <v>4.7740678573808371E-2</v>
      </c>
      <c r="E72" s="127">
        <f t="shared" si="8"/>
        <v>3400.7146226364912</v>
      </c>
    </row>
    <row r="73" spans="1:5" x14ac:dyDescent="0.25">
      <c r="A73" s="122">
        <f t="shared" si="9"/>
        <v>43739</v>
      </c>
      <c r="B73" s="111">
        <v>3.3000000000000002E-2</v>
      </c>
      <c r="C73" s="126">
        <v>3506.25</v>
      </c>
      <c r="D73" s="111">
        <f t="shared" si="10"/>
        <v>6.1833940528214004E-2</v>
      </c>
      <c r="E73" s="127">
        <f t="shared" si="8"/>
        <v>3512.938205183495</v>
      </c>
    </row>
    <row r="74" spans="1:5" x14ac:dyDescent="0.25">
      <c r="A74" s="122">
        <f t="shared" si="9"/>
        <v>43770</v>
      </c>
      <c r="B74" s="111">
        <v>4.2999999999999997E-2</v>
      </c>
      <c r="C74" s="126">
        <v>3610.36</v>
      </c>
      <c r="D74" s="111">
        <f t="shared" si="10"/>
        <v>2.9692691622103418E-2</v>
      </c>
      <c r="E74" s="127">
        <f t="shared" si="8"/>
        <v>3663.9945480063852</v>
      </c>
    </row>
    <row r="75" spans="1:5" x14ac:dyDescent="0.25">
      <c r="A75" s="122">
        <f t="shared" si="9"/>
        <v>43800</v>
      </c>
      <c r="B75" s="111">
        <v>3.7000000000000005E-2</v>
      </c>
      <c r="C75" s="126">
        <v>3784.74</v>
      </c>
      <c r="D75" s="111">
        <f t="shared" si="10"/>
        <v>4.8299892531492583E-2</v>
      </c>
      <c r="E75" s="127">
        <f t="shared" si="8"/>
        <v>3799.5623462826211</v>
      </c>
    </row>
    <row r="76" spans="1:5" x14ac:dyDescent="0.25">
      <c r="A76" s="122">
        <f t="shared" si="9"/>
        <v>43831</v>
      </c>
      <c r="B76" s="111">
        <v>2.3E-2</v>
      </c>
      <c r="C76" s="126">
        <v>3968.36</v>
      </c>
      <c r="D76" s="111">
        <f t="shared" si="10"/>
        <v>4.8515882200626859E-2</v>
      </c>
      <c r="E76" s="127">
        <f t="shared" si="8"/>
        <v>3886.9522802471211</v>
      </c>
    </row>
    <row r="77" spans="1:5" x14ac:dyDescent="0.25">
      <c r="A77" s="122">
        <f t="shared" si="9"/>
        <v>43862</v>
      </c>
      <c r="B77" s="111">
        <v>0.02</v>
      </c>
      <c r="C77" s="126">
        <v>4089.1</v>
      </c>
      <c r="D77" s="111">
        <f t="shared" si="10"/>
        <v>3.0425667026177106E-2</v>
      </c>
      <c r="E77" s="127">
        <f t="shared" si="8"/>
        <v>3964.6913258520635</v>
      </c>
    </row>
    <row r="78" spans="1:5" x14ac:dyDescent="0.25">
      <c r="A78" s="122">
        <f t="shared" si="9"/>
        <v>43891</v>
      </c>
      <c r="B78" s="111">
        <v>3.3000000000000002E-2</v>
      </c>
      <c r="C78" s="126">
        <v>4200.6899999999996</v>
      </c>
      <c r="D78" s="111">
        <f t="shared" si="10"/>
        <v>2.7289623633562243E-2</v>
      </c>
      <c r="E78" s="127">
        <f t="shared" si="8"/>
        <v>4095.5261396051815</v>
      </c>
    </row>
    <row r="79" spans="1:5" x14ac:dyDescent="0.25">
      <c r="A79" s="122">
        <f t="shared" si="9"/>
        <v>43922</v>
      </c>
      <c r="B79" s="111">
        <v>1.4999999999999999E-2</v>
      </c>
      <c r="C79" s="126">
        <v>4316.58</v>
      </c>
      <c r="D79" s="111">
        <f t="shared" si="10"/>
        <v>2.7588324775215556E-2</v>
      </c>
      <c r="E79" s="127">
        <f t="shared" si="8"/>
        <v>4156.959031699259</v>
      </c>
    </row>
    <row r="80" spans="1:5" x14ac:dyDescent="0.25">
      <c r="A80" s="122">
        <f t="shared" si="9"/>
        <v>43952</v>
      </c>
      <c r="B80" s="111">
        <v>1.4999999999999999E-2</v>
      </c>
      <c r="C80" s="126">
        <v>4401.0600000000004</v>
      </c>
      <c r="D80" s="111">
        <f t="shared" si="10"/>
        <v>1.9571049302920418E-2</v>
      </c>
      <c r="E80" s="127">
        <f t="shared" si="8"/>
        <v>4219.3134171747479</v>
      </c>
    </row>
    <row r="81" spans="1:5" x14ac:dyDescent="0.25">
      <c r="A81" s="122">
        <f t="shared" si="9"/>
        <v>43983</v>
      </c>
      <c r="B81" s="111">
        <v>2.2000000000000002E-2</v>
      </c>
      <c r="C81" s="126">
        <v>4461.5600000000004</v>
      </c>
      <c r="D81" s="111">
        <f t="shared" si="10"/>
        <v>1.3746688297819221E-2</v>
      </c>
      <c r="E81" s="127">
        <f t="shared" si="8"/>
        <v>4312.138312352592</v>
      </c>
    </row>
    <row r="82" spans="1:5" x14ac:dyDescent="0.25">
      <c r="A82" s="122">
        <f t="shared" si="9"/>
        <v>44013</v>
      </c>
      <c r="B82" s="111">
        <v>1.9E-2</v>
      </c>
      <c r="C82" s="126">
        <v>4533.16</v>
      </c>
      <c r="D82" s="111">
        <f t="shared" si="10"/>
        <v>1.604819838800764E-2</v>
      </c>
      <c r="E82" s="127">
        <f t="shared" si="8"/>
        <v>4394.0689402872913</v>
      </c>
    </row>
    <row r="83" spans="1:5" x14ac:dyDescent="0.25">
      <c r="A83" s="122">
        <f t="shared" si="9"/>
        <v>44044</v>
      </c>
      <c r="B83" s="111">
        <v>2.7000000000000003E-2</v>
      </c>
      <c r="C83" s="126">
        <v>4641.9399999999996</v>
      </c>
      <c r="D83" s="111">
        <f t="shared" si="10"/>
        <v>2.3996505748749231E-2</v>
      </c>
      <c r="E83" s="127">
        <f t="shared" si="8"/>
        <v>4512.7088016750477</v>
      </c>
    </row>
    <row r="84" spans="1:5" x14ac:dyDescent="0.25">
      <c r="A84" s="122">
        <f t="shared" si="9"/>
        <v>44075</v>
      </c>
      <c r="B84" s="111">
        <v>2.7999999999999997E-2</v>
      </c>
      <c r="C84" s="126">
        <v>4782.91</v>
      </c>
      <c r="D84" s="111">
        <f t="shared" si="10"/>
        <v>3.0368768230524257E-2</v>
      </c>
      <c r="E84" s="127">
        <f t="shared" si="8"/>
        <v>4639.0646481219492</v>
      </c>
    </row>
    <row r="85" spans="1:5" x14ac:dyDescent="0.25">
      <c r="A85" s="122">
        <f t="shared" si="9"/>
        <v>44105</v>
      </c>
      <c r="B85" s="111">
        <v>3.7999999999999999E-2</v>
      </c>
      <c r="C85" s="126">
        <v>4929.68</v>
      </c>
      <c r="D85" s="111">
        <f t="shared" si="10"/>
        <v>3.0686339487885128E-2</v>
      </c>
      <c r="E85" s="127">
        <f t="shared" si="8"/>
        <v>4815.3491047505831</v>
      </c>
    </row>
    <row r="86" spans="1:5" x14ac:dyDescent="0.25">
      <c r="A86" s="122">
        <f t="shared" si="9"/>
        <v>44136</v>
      </c>
      <c r="B86" s="111">
        <v>3.2000000000000001E-2</v>
      </c>
      <c r="C86" s="126">
        <v>5104.74</v>
      </c>
      <c r="D86" s="111">
        <f t="shared" si="10"/>
        <v>3.5511432790769293E-2</v>
      </c>
      <c r="E86" s="127">
        <f t="shared" si="8"/>
        <v>4969.4402761026022</v>
      </c>
    </row>
    <row r="87" spans="1:5" x14ac:dyDescent="0.25">
      <c r="A87" s="122">
        <f t="shared" si="9"/>
        <v>44166</v>
      </c>
      <c r="B87" s="111">
        <v>0.04</v>
      </c>
      <c r="C87" s="126">
        <v>5293.17</v>
      </c>
      <c r="D87" s="111">
        <f t="shared" si="10"/>
        <v>3.6912751677852462E-2</v>
      </c>
      <c r="E87" s="127">
        <f t="shared" si="8"/>
        <v>5168.2178871467067</v>
      </c>
    </row>
    <row r="88" spans="1:5" x14ac:dyDescent="0.25">
      <c r="A88" s="122">
        <f t="shared" si="9"/>
        <v>44197</v>
      </c>
      <c r="B88" s="111">
        <v>0.04</v>
      </c>
      <c r="C88" s="126">
        <v>5626.28</v>
      </c>
      <c r="D88" s="111">
        <f t="shared" si="10"/>
        <v>6.2932042613405459E-2</v>
      </c>
      <c r="E88" s="127">
        <f t="shared" si="8"/>
        <v>5374.9466026325754</v>
      </c>
    </row>
    <row r="89" spans="1:5" x14ac:dyDescent="0.25">
      <c r="A89" s="122">
        <f t="shared" si="9"/>
        <v>44228</v>
      </c>
      <c r="B89" s="111">
        <v>3.6000000000000004E-2</v>
      </c>
      <c r="C89" s="126">
        <v>5907.94</v>
      </c>
      <c r="D89" s="111">
        <f t="shared" si="10"/>
        <v>5.0061497117100506E-2</v>
      </c>
      <c r="E89" s="127">
        <f t="shared" si="8"/>
        <v>5568.4446803273486</v>
      </c>
    </row>
    <row r="90" spans="1:5" x14ac:dyDescent="0.25">
      <c r="A90" s="122">
        <f t="shared" si="9"/>
        <v>44256</v>
      </c>
      <c r="B90" s="111">
        <v>4.8000000000000001E-2</v>
      </c>
      <c r="C90" s="126">
        <v>6123.9</v>
      </c>
      <c r="D90" s="111">
        <f t="shared" si="10"/>
        <v>3.6554196555821594E-2</v>
      </c>
      <c r="E90" s="127">
        <f t="shared" si="8"/>
        <v>5835.7300249830614</v>
      </c>
    </row>
    <row r="91" spans="1:5" x14ac:dyDescent="0.25">
      <c r="A91" s="122">
        <f t="shared" si="9"/>
        <v>44287</v>
      </c>
      <c r="B91" s="111">
        <v>4.0999999999999995E-2</v>
      </c>
      <c r="C91" s="126">
        <v>6361.08</v>
      </c>
      <c r="D91" s="111">
        <f t="shared" si="10"/>
        <v>3.8730220937637894E-2</v>
      </c>
      <c r="E91" s="127">
        <f t="shared" si="8"/>
        <v>6074.9949560073665</v>
      </c>
    </row>
    <row r="92" spans="1:5" x14ac:dyDescent="0.25">
      <c r="A92" s="122">
        <f t="shared" si="9"/>
        <v>44317</v>
      </c>
      <c r="B92" s="111">
        <v>3.3000000000000002E-2</v>
      </c>
      <c r="C92" s="126">
        <v>6615</v>
      </c>
      <c r="D92" s="111">
        <f t="shared" si="10"/>
        <v>3.9917749816068993E-2</v>
      </c>
      <c r="E92" s="127">
        <f t="shared" si="8"/>
        <v>6275.4697895556092</v>
      </c>
    </row>
    <row r="93" spans="1:5" x14ac:dyDescent="0.25">
      <c r="A93" s="122">
        <f t="shared" si="9"/>
        <v>44348</v>
      </c>
      <c r="B93" s="111">
        <v>3.2000000000000001E-2</v>
      </c>
      <c r="C93" s="126">
        <v>6834.62</v>
      </c>
      <c r="D93" s="111">
        <f t="shared" si="10"/>
        <v>3.3200302343159516E-2</v>
      </c>
      <c r="E93" s="127">
        <f t="shared" si="8"/>
        <v>6476.2848228213888</v>
      </c>
    </row>
    <row r="94" spans="1:5" x14ac:dyDescent="0.25">
      <c r="A94" s="122">
        <f t="shared" si="9"/>
        <v>44378</v>
      </c>
      <c r="B94" s="111">
        <v>0.03</v>
      </c>
      <c r="C94" s="126">
        <v>7065.63</v>
      </c>
      <c r="D94" s="111">
        <f t="shared" si="10"/>
        <v>3.3799977175029472E-2</v>
      </c>
      <c r="E94" s="127">
        <f t="shared" si="8"/>
        <v>6670.573367506031</v>
      </c>
    </row>
    <row r="95" spans="1:5" x14ac:dyDescent="0.25">
      <c r="A95" s="122">
        <f t="shared" si="9"/>
        <v>44409</v>
      </c>
      <c r="B95" s="111">
        <v>2.5000000000000001E-2</v>
      </c>
      <c r="C95" s="126">
        <v>7245.04</v>
      </c>
      <c r="D95" s="111">
        <f t="shared" si="10"/>
        <v>2.5391932495757663E-2</v>
      </c>
      <c r="E95" s="127">
        <f t="shared" si="8"/>
        <v>6837.3377016936811</v>
      </c>
    </row>
    <row r="96" spans="1:5" x14ac:dyDescent="0.25">
      <c r="A96" s="122">
        <f t="shared" si="9"/>
        <v>44440</v>
      </c>
      <c r="B96" s="111">
        <v>3.5000000000000003E-2</v>
      </c>
      <c r="C96" s="126">
        <v>7433.88</v>
      </c>
      <c r="D96" s="111">
        <f t="shared" si="10"/>
        <v>2.6064728421099082E-2</v>
      </c>
      <c r="E96" s="127">
        <f t="shared" si="8"/>
        <v>7076.6445212529597</v>
      </c>
    </row>
    <row r="97" spans="1:5" x14ac:dyDescent="0.25">
      <c r="A97" s="122">
        <f t="shared" si="9"/>
        <v>44470</v>
      </c>
      <c r="B97" s="111">
        <v>3.5000000000000003E-2</v>
      </c>
      <c r="C97" s="126">
        <v>7648.23</v>
      </c>
      <c r="D97" s="111">
        <f t="shared" si="10"/>
        <v>2.8834202327721048E-2</v>
      </c>
      <c r="E97" s="127">
        <f t="shared" si="8"/>
        <v>7324.327079496813</v>
      </c>
    </row>
    <row r="98" spans="1:5" x14ac:dyDescent="0.25">
      <c r="A98" s="122">
        <f t="shared" si="9"/>
        <v>44501</v>
      </c>
      <c r="B98" s="111">
        <v>2.5000000000000001E-2</v>
      </c>
      <c r="C98" s="126">
        <v>7865.47</v>
      </c>
      <c r="D98" s="111">
        <f t="shared" si="10"/>
        <v>2.8403957516968115E-2</v>
      </c>
      <c r="E98" s="127">
        <f t="shared" si="8"/>
        <v>7507.4352564842329</v>
      </c>
    </row>
    <row r="99" spans="1:5" x14ac:dyDescent="0.25">
      <c r="A99" s="122">
        <f t="shared" si="9"/>
        <v>44531</v>
      </c>
      <c r="B99" s="111">
        <v>3.7999999999999999E-2</v>
      </c>
      <c r="C99" s="126">
        <v>8110.64</v>
      </c>
      <c r="D99" s="111">
        <f t="shared" si="10"/>
        <v>3.1170419568061325E-2</v>
      </c>
      <c r="E99" s="127">
        <f t="shared" si="8"/>
        <v>7792.7177962306341</v>
      </c>
    </row>
    <row r="100" spans="1:5" x14ac:dyDescent="0.25">
      <c r="A100" s="122">
        <f t="shared" si="9"/>
        <v>44562</v>
      </c>
      <c r="B100" s="111">
        <v>3.9E-2</v>
      </c>
      <c r="C100" s="126">
        <v>8480.7000000000007</v>
      </c>
      <c r="D100" s="111">
        <f t="shared" si="10"/>
        <v>4.5626485702731312E-2</v>
      </c>
      <c r="E100" s="127">
        <f t="shared" si="8"/>
        <v>8096.6337902836285</v>
      </c>
    </row>
    <row r="101" spans="1:5" x14ac:dyDescent="0.25">
      <c r="A101" s="122">
        <f t="shared" si="9"/>
        <v>44593</v>
      </c>
      <c r="B101" s="111">
        <v>4.7E-2</v>
      </c>
      <c r="C101" s="126">
        <v>8808.77</v>
      </c>
      <c r="D101" s="111">
        <f t="shared" si="10"/>
        <v>3.8684306719964034E-2</v>
      </c>
      <c r="E101" s="127">
        <f t="shared" si="8"/>
        <v>8477.175578426959</v>
      </c>
    </row>
    <row r="102" spans="1:5" x14ac:dyDescent="0.25">
      <c r="A102" s="122">
        <f t="shared" si="9"/>
        <v>44621</v>
      </c>
      <c r="B102" s="111">
        <v>6.7000000000000004E-2</v>
      </c>
      <c r="C102" s="126">
        <v>9327.8799999999992</v>
      </c>
      <c r="D102" s="111">
        <f t="shared" si="10"/>
        <v>5.8931042585968152E-2</v>
      </c>
      <c r="E102" s="127">
        <f t="shared" si="8"/>
        <v>9045.1463421815643</v>
      </c>
    </row>
    <row r="103" spans="1:5" x14ac:dyDescent="0.25">
      <c r="A103" s="122">
        <f t="shared" si="9"/>
        <v>44652</v>
      </c>
      <c r="B103" s="111">
        <v>0.06</v>
      </c>
      <c r="C103" s="126">
        <v>9962.61</v>
      </c>
      <c r="D103" s="111">
        <f t="shared" si="10"/>
        <v>6.8046544338049131E-2</v>
      </c>
      <c r="E103" s="127">
        <f t="shared" si="8"/>
        <v>9587.855122712459</v>
      </c>
    </row>
    <row r="104" spans="1:5" x14ac:dyDescent="0.25">
      <c r="A104" s="122">
        <f t="shared" si="9"/>
        <v>44682</v>
      </c>
      <c r="B104" s="111">
        <v>5.0999999999999997E-2</v>
      </c>
      <c r="C104" s="126">
        <v>10472.040000000001</v>
      </c>
      <c r="D104" s="111">
        <f t="shared" si="10"/>
        <v>5.1134190739173802E-2</v>
      </c>
      <c r="E104" s="127">
        <f t="shared" si="8"/>
        <v>10076.835733970795</v>
      </c>
    </row>
    <row r="105" spans="1:5" x14ac:dyDescent="0.25">
      <c r="A105" s="122">
        <f t="shared" si="9"/>
        <v>44713</v>
      </c>
      <c r="B105" s="111">
        <v>5.2999999999999999E-2</v>
      </c>
      <c r="C105" s="126">
        <v>11054.95</v>
      </c>
      <c r="D105" s="111">
        <f t="shared" si="10"/>
        <v>5.5663461942467629E-2</v>
      </c>
      <c r="E105" s="127">
        <f t="shared" ref="E105:E138" si="11">+E104*(1+B105)</f>
        <v>10610.908027871246</v>
      </c>
    </row>
    <row r="106" spans="1:5" x14ac:dyDescent="0.25">
      <c r="A106" s="122">
        <f t="shared" ref="A106:A138" si="12">+EDATE(A105,1)</f>
        <v>44743</v>
      </c>
      <c r="B106" s="111">
        <v>7.400000000000001E-2</v>
      </c>
      <c r="C106" s="126">
        <v>11531.78</v>
      </c>
      <c r="D106" s="111">
        <f t="shared" si="10"/>
        <v>4.3132714304451758E-2</v>
      </c>
      <c r="E106" s="127">
        <f t="shared" si="11"/>
        <v>11396.11522193372</v>
      </c>
    </row>
    <row r="107" spans="1:5" x14ac:dyDescent="0.25">
      <c r="A107" s="122">
        <f t="shared" si="12"/>
        <v>44774</v>
      </c>
      <c r="B107" s="111">
        <v>7.0000000000000007E-2</v>
      </c>
      <c r="C107" s="126">
        <v>12323.61</v>
      </c>
      <c r="D107" s="111">
        <f t="shared" si="10"/>
        <v>6.8665028295718411E-2</v>
      </c>
      <c r="E107" s="127">
        <f t="shared" si="11"/>
        <v>12193.843287469081</v>
      </c>
    </row>
    <row r="108" spans="1:5" x14ac:dyDescent="0.25">
      <c r="A108" s="122">
        <f t="shared" si="12"/>
        <v>44805</v>
      </c>
      <c r="B108" s="111">
        <v>6.2E-2</v>
      </c>
      <c r="C108" s="126">
        <v>13207.47</v>
      </c>
      <c r="D108" s="111">
        <f t="shared" si="10"/>
        <v>7.1720867505544073E-2</v>
      </c>
      <c r="E108" s="127">
        <f t="shared" si="11"/>
        <v>12949.861571292164</v>
      </c>
    </row>
    <row r="109" spans="1:5" x14ac:dyDescent="0.25">
      <c r="A109" s="122">
        <f t="shared" si="12"/>
        <v>44835</v>
      </c>
      <c r="B109" s="111">
        <v>6.3E-2</v>
      </c>
      <c r="C109" s="126">
        <v>14057.96</v>
      </c>
      <c r="D109" s="111">
        <f t="shared" si="10"/>
        <v>6.4394619105702988E-2</v>
      </c>
      <c r="E109" s="127">
        <f t="shared" si="11"/>
        <v>13765.702850283569</v>
      </c>
    </row>
    <row r="110" spans="1:5" x14ac:dyDescent="0.25">
      <c r="A110" s="122">
        <f t="shared" si="12"/>
        <v>44866</v>
      </c>
      <c r="B110" s="111">
        <v>4.9000000000000002E-2</v>
      </c>
      <c r="C110" s="126">
        <v>14826.58</v>
      </c>
      <c r="D110" s="111">
        <f t="shared" si="10"/>
        <v>5.4675073766037308E-2</v>
      </c>
      <c r="E110" s="127">
        <f t="shared" si="11"/>
        <v>14440.222289947464</v>
      </c>
    </row>
    <row r="111" spans="1:5" x14ac:dyDescent="0.25">
      <c r="A111" s="122">
        <f t="shared" si="12"/>
        <v>44896</v>
      </c>
      <c r="B111" s="111">
        <v>5.0999999999999997E-2</v>
      </c>
      <c r="C111" s="126">
        <v>15585.2</v>
      </c>
      <c r="D111" s="111">
        <f t="shared" si="10"/>
        <v>5.1166216349286309E-2</v>
      </c>
      <c r="E111" s="127">
        <f t="shared" si="11"/>
        <v>15176.673626734784</v>
      </c>
    </row>
    <row r="112" spans="1:5" x14ac:dyDescent="0.25">
      <c r="A112" s="122">
        <f t="shared" si="12"/>
        <v>44927</v>
      </c>
      <c r="B112" s="111">
        <v>0.06</v>
      </c>
      <c r="C112" s="126">
        <v>16324.7</v>
      </c>
      <c r="D112" s="111">
        <f t="shared" si="10"/>
        <v>4.7448861740625681E-2</v>
      </c>
      <c r="E112" s="127">
        <f t="shared" si="11"/>
        <v>16087.274044338872</v>
      </c>
    </row>
    <row r="113" spans="1:5" x14ac:dyDescent="0.25">
      <c r="A113" s="122">
        <f t="shared" si="12"/>
        <v>44958</v>
      </c>
      <c r="B113" s="111">
        <v>6.6000000000000003E-2</v>
      </c>
      <c r="C113" s="126">
        <v>17243.86</v>
      </c>
      <c r="D113" s="111">
        <f t="shared" si="10"/>
        <v>5.630486318278427E-2</v>
      </c>
      <c r="E113" s="127">
        <f t="shared" si="11"/>
        <v>17149.034131265238</v>
      </c>
    </row>
    <row r="114" spans="1:5" x14ac:dyDescent="0.25">
      <c r="A114" s="122">
        <f t="shared" si="12"/>
        <v>44986</v>
      </c>
      <c r="B114" s="111">
        <v>7.6999999999999999E-2</v>
      </c>
      <c r="C114" s="126">
        <v>18772.650000000001</v>
      </c>
      <c r="D114" s="111">
        <f t="shared" si="10"/>
        <v>8.8657064021628651E-2</v>
      </c>
      <c r="E114" s="127">
        <f t="shared" si="11"/>
        <v>18469.50975937266</v>
      </c>
    </row>
    <row r="115" spans="1:5" x14ac:dyDescent="0.25">
      <c r="A115" s="122">
        <f t="shared" si="12"/>
        <v>45017</v>
      </c>
      <c r="B115" s="111">
        <v>8.4000000000000005E-2</v>
      </c>
      <c r="C115" s="126">
        <v>20072.27</v>
      </c>
      <c r="D115" s="111">
        <f t="shared" si="10"/>
        <v>6.9229437506159064E-2</v>
      </c>
      <c r="E115" s="127">
        <f t="shared" si="11"/>
        <v>20020.948579159965</v>
      </c>
    </row>
    <row r="116" spans="1:5" x14ac:dyDescent="0.25">
      <c r="A116" s="122">
        <f t="shared" si="12"/>
        <v>45047</v>
      </c>
      <c r="B116" s="111">
        <v>7.8E-2</v>
      </c>
      <c r="C116" s="126">
        <v>21489.61</v>
      </c>
      <c r="D116" s="111">
        <f t="shared" si="10"/>
        <v>7.0611844101339916E-2</v>
      </c>
      <c r="E116" s="127">
        <f t="shared" si="11"/>
        <v>21582.582568334445</v>
      </c>
    </row>
    <row r="117" spans="1:5" x14ac:dyDescent="0.25">
      <c r="A117" s="122">
        <f t="shared" si="12"/>
        <v>45078</v>
      </c>
      <c r="B117" s="111">
        <v>0.06</v>
      </c>
      <c r="C117" s="126">
        <v>22820.29</v>
      </c>
      <c r="D117" s="111">
        <f t="shared" si="10"/>
        <v>6.1922017198078549E-2</v>
      </c>
      <c r="E117" s="127">
        <f t="shared" si="11"/>
        <v>22877.537522434512</v>
      </c>
    </row>
    <row r="118" spans="1:5" x14ac:dyDescent="0.25">
      <c r="A118" s="122">
        <f t="shared" si="12"/>
        <v>45108</v>
      </c>
      <c r="B118" s="111">
        <v>6.3E-2</v>
      </c>
      <c r="C118" s="126">
        <v>25316.84</v>
      </c>
      <c r="D118" s="111">
        <f t="shared" si="10"/>
        <v>0.10940045021338474</v>
      </c>
      <c r="E118" s="127">
        <f t="shared" si="11"/>
        <v>24318.822386347885</v>
      </c>
    </row>
    <row r="119" spans="1:5" x14ac:dyDescent="0.25">
      <c r="A119" s="122">
        <f t="shared" si="12"/>
        <v>45139</v>
      </c>
      <c r="B119" s="111">
        <v>0.124</v>
      </c>
      <c r="C119" s="126">
        <v>29093.99</v>
      </c>
      <c r="D119" s="111">
        <f t="shared" si="10"/>
        <v>0.14919516021746793</v>
      </c>
      <c r="E119" s="127">
        <f t="shared" si="11"/>
        <v>27334.356362255025</v>
      </c>
    </row>
    <row r="120" spans="1:5" x14ac:dyDescent="0.25">
      <c r="A120" s="122">
        <f t="shared" si="12"/>
        <v>45170</v>
      </c>
      <c r="B120" s="111">
        <v>0.127</v>
      </c>
      <c r="C120" s="126">
        <v>33432.33</v>
      </c>
      <c r="D120" s="111">
        <f t="shared" si="10"/>
        <v>0.14911464532709329</v>
      </c>
      <c r="E120" s="127">
        <f t="shared" si="11"/>
        <v>30805.819620261413</v>
      </c>
    </row>
    <row r="121" spans="1:5" x14ac:dyDescent="0.25">
      <c r="A121" s="122">
        <f t="shared" si="12"/>
        <v>45200</v>
      </c>
      <c r="B121" s="111">
        <v>8.3000000000000004E-2</v>
      </c>
      <c r="D121" s="111">
        <f t="shared" si="10"/>
        <v>-1</v>
      </c>
      <c r="E121" s="127">
        <f t="shared" si="11"/>
        <v>33362.702648743107</v>
      </c>
    </row>
    <row r="122" spans="1:5" x14ac:dyDescent="0.25">
      <c r="A122" s="122">
        <f t="shared" si="12"/>
        <v>45231</v>
      </c>
      <c r="B122" s="111">
        <v>0.128</v>
      </c>
      <c r="D122" s="111" t="e">
        <f t="shared" si="10"/>
        <v>#DIV/0!</v>
      </c>
      <c r="E122" s="127">
        <f t="shared" si="11"/>
        <v>37633.12858778223</v>
      </c>
    </row>
    <row r="123" spans="1:5" x14ac:dyDescent="0.25">
      <c r="A123" s="122">
        <f t="shared" si="12"/>
        <v>45261</v>
      </c>
      <c r="B123" s="111">
        <v>0.255</v>
      </c>
      <c r="D123" s="111" t="e">
        <f t="shared" si="10"/>
        <v>#DIV/0!</v>
      </c>
      <c r="E123" s="127">
        <f t="shared" si="11"/>
        <v>47229.576377666694</v>
      </c>
    </row>
    <row r="124" spans="1:5" x14ac:dyDescent="0.25">
      <c r="A124" s="122">
        <f t="shared" si="12"/>
        <v>45292</v>
      </c>
      <c r="B124" s="111">
        <v>0.20600000000000002</v>
      </c>
      <c r="E124" s="127">
        <f t="shared" si="11"/>
        <v>56958.869111466032</v>
      </c>
    </row>
    <row r="125" spans="1:5" x14ac:dyDescent="0.25">
      <c r="A125" s="122">
        <f t="shared" si="12"/>
        <v>45323</v>
      </c>
      <c r="B125" s="111">
        <v>0.13200000000000001</v>
      </c>
      <c r="E125" s="127">
        <f t="shared" si="11"/>
        <v>64477.439834179553</v>
      </c>
    </row>
    <row r="126" spans="1:5" x14ac:dyDescent="0.25">
      <c r="A126" s="122">
        <f t="shared" si="12"/>
        <v>45352</v>
      </c>
      <c r="B126" s="111">
        <v>0.11</v>
      </c>
      <c r="E126" s="127">
        <f t="shared" si="11"/>
        <v>71569.958215939303</v>
      </c>
    </row>
    <row r="127" spans="1:5" x14ac:dyDescent="0.25">
      <c r="A127" s="122">
        <f t="shared" si="12"/>
        <v>45383</v>
      </c>
      <c r="B127" s="111">
        <v>8.8000000000000009E-2</v>
      </c>
      <c r="E127" s="127">
        <f t="shared" si="11"/>
        <v>77868.114538941969</v>
      </c>
    </row>
    <row r="128" spans="1:5" x14ac:dyDescent="0.25">
      <c r="A128" s="122">
        <f t="shared" si="12"/>
        <v>45413</v>
      </c>
      <c r="B128" s="111">
        <v>4.2000000000000003E-2</v>
      </c>
      <c r="E128" s="127">
        <f t="shared" si="11"/>
        <v>81138.575349577528</v>
      </c>
    </row>
    <row r="129" spans="1:5" x14ac:dyDescent="0.25">
      <c r="A129" s="122">
        <f t="shared" si="12"/>
        <v>45444</v>
      </c>
      <c r="B129" s="111">
        <v>4.5999999999999999E-2</v>
      </c>
      <c r="E129" s="127">
        <f t="shared" si="11"/>
        <v>84870.949815658096</v>
      </c>
    </row>
    <row r="130" spans="1:5" x14ac:dyDescent="0.25">
      <c r="A130" s="122">
        <f t="shared" si="12"/>
        <v>45474</v>
      </c>
      <c r="B130" s="111">
        <v>0.04</v>
      </c>
      <c r="E130" s="127">
        <f t="shared" si="11"/>
        <v>88265.787808284425</v>
      </c>
    </row>
    <row r="131" spans="1:5" x14ac:dyDescent="0.25">
      <c r="A131" s="122">
        <f t="shared" si="12"/>
        <v>45505</v>
      </c>
      <c r="B131" s="111">
        <v>4.2000000000000003E-2</v>
      </c>
      <c r="E131" s="127">
        <f t="shared" si="11"/>
        <v>91972.950896232374</v>
      </c>
    </row>
    <row r="132" spans="1:5" x14ac:dyDescent="0.25">
      <c r="A132" s="122">
        <f t="shared" si="12"/>
        <v>45536</v>
      </c>
      <c r="B132" s="111">
        <v>3.5000000000000003E-2</v>
      </c>
      <c r="E132" s="127">
        <f t="shared" si="11"/>
        <v>95192.004177600495</v>
      </c>
    </row>
    <row r="133" spans="1:5" x14ac:dyDescent="0.25">
      <c r="A133" s="122">
        <f t="shared" si="12"/>
        <v>45566</v>
      </c>
      <c r="B133" s="111">
        <v>2.7000000000000003E-2</v>
      </c>
      <c r="E133" s="127">
        <f t="shared" si="11"/>
        <v>97762.188290395701</v>
      </c>
    </row>
    <row r="134" spans="1:5" x14ac:dyDescent="0.25">
      <c r="A134" s="122">
        <f t="shared" si="12"/>
        <v>45597</v>
      </c>
      <c r="B134" s="111">
        <v>2.4E-2</v>
      </c>
      <c r="E134" s="127">
        <f t="shared" si="11"/>
        <v>100108.4808093652</v>
      </c>
    </row>
    <row r="135" spans="1:5" x14ac:dyDescent="0.25">
      <c r="A135" s="122">
        <f t="shared" si="12"/>
        <v>45627</v>
      </c>
      <c r="B135" s="111">
        <v>2.7000000000000003E-2</v>
      </c>
      <c r="E135" s="127">
        <f t="shared" si="11"/>
        <v>102811.40979121804</v>
      </c>
    </row>
    <row r="136" spans="1:5" x14ac:dyDescent="0.25">
      <c r="A136" s="122">
        <f t="shared" si="12"/>
        <v>45658</v>
      </c>
      <c r="B136" s="111">
        <v>2.2000000000000002E-2</v>
      </c>
      <c r="E136" s="127">
        <f t="shared" si="11"/>
        <v>105073.26080662484</v>
      </c>
    </row>
    <row r="137" spans="1:5" x14ac:dyDescent="0.25">
      <c r="A137" s="122">
        <f t="shared" si="12"/>
        <v>45689</v>
      </c>
      <c r="B137" s="111">
        <v>2.4E-2</v>
      </c>
      <c r="E137" s="127">
        <f t="shared" si="11"/>
        <v>107595.01906598384</v>
      </c>
    </row>
    <row r="138" spans="1:5" x14ac:dyDescent="0.25">
      <c r="A138" s="122">
        <f t="shared" si="12"/>
        <v>45717</v>
      </c>
      <c r="B138" s="111">
        <v>3.7000000000000005E-2</v>
      </c>
      <c r="E138" s="127">
        <f t="shared" si="11"/>
        <v>111576.03477142523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AO17"/>
  <sheetViews>
    <sheetView workbookViewId="0">
      <pane xSplit="1" ySplit="2" topLeftCell="X3" activePane="bottomRight" state="frozen"/>
      <selection activeCell="P45" sqref="P45"/>
      <selection pane="topRight" activeCell="P45" sqref="P45"/>
      <selection pane="bottomLeft" activeCell="P45" sqref="P45"/>
      <selection pane="bottomRight" activeCell="AL4" sqref="AL4"/>
    </sheetView>
  </sheetViews>
  <sheetFormatPr baseColWidth="10" defaultRowHeight="15" x14ac:dyDescent="0.25"/>
  <sheetData>
    <row r="1" spans="1:41" x14ac:dyDescent="0.25">
      <c r="A1" t="s">
        <v>182</v>
      </c>
    </row>
    <row r="2" spans="1:41" x14ac:dyDescent="0.25">
      <c r="B2" s="37">
        <v>41729</v>
      </c>
      <c r="C2" s="37">
        <v>41820</v>
      </c>
      <c r="D2" s="37">
        <v>41912</v>
      </c>
      <c r="E2" s="37">
        <v>42004</v>
      </c>
      <c r="F2" s="37">
        <v>42094</v>
      </c>
      <c r="G2" s="37">
        <v>42185</v>
      </c>
      <c r="H2" s="37">
        <v>42277</v>
      </c>
      <c r="I2" s="37">
        <v>42369</v>
      </c>
      <c r="J2" s="37">
        <v>42460</v>
      </c>
      <c r="K2" s="37">
        <v>42551</v>
      </c>
      <c r="L2" s="37">
        <v>42643</v>
      </c>
      <c r="M2" s="37">
        <v>42735</v>
      </c>
      <c r="N2" s="37">
        <v>42825</v>
      </c>
      <c r="O2" s="37">
        <v>42916</v>
      </c>
      <c r="P2" s="37">
        <v>43008</v>
      </c>
      <c r="Q2" s="37">
        <v>43100</v>
      </c>
      <c r="R2" s="37">
        <v>43190</v>
      </c>
      <c r="S2" s="37">
        <v>43281</v>
      </c>
      <c r="T2" s="37">
        <v>43373</v>
      </c>
      <c r="U2" s="37">
        <v>43465</v>
      </c>
      <c r="V2" s="37">
        <v>43555</v>
      </c>
      <c r="W2" s="37">
        <v>43646</v>
      </c>
      <c r="X2" s="37">
        <v>43738</v>
      </c>
      <c r="Y2" s="37">
        <v>43830</v>
      </c>
      <c r="Z2" s="37">
        <v>43921</v>
      </c>
      <c r="AA2" s="37">
        <v>44012</v>
      </c>
      <c r="AB2" s="37">
        <v>44104</v>
      </c>
      <c r="AC2" s="37">
        <v>44196</v>
      </c>
      <c r="AD2" s="37">
        <v>44286</v>
      </c>
      <c r="AE2" s="37">
        <v>44377</v>
      </c>
      <c r="AF2" s="37">
        <v>44469</v>
      </c>
      <c r="AG2" s="37">
        <v>44561</v>
      </c>
      <c r="AH2" s="37">
        <v>44651</v>
      </c>
      <c r="AI2" s="37">
        <v>44742</v>
      </c>
      <c r="AJ2" s="37">
        <v>44834</v>
      </c>
      <c r="AK2" s="37">
        <v>44926</v>
      </c>
      <c r="AL2" s="37">
        <v>45016</v>
      </c>
      <c r="AM2" s="37">
        <v>45107</v>
      </c>
      <c r="AN2" s="37">
        <v>45199</v>
      </c>
      <c r="AO2" s="37">
        <v>45291</v>
      </c>
    </row>
    <row r="3" spans="1:41" x14ac:dyDescent="0.25">
      <c r="A3" t="s">
        <v>180</v>
      </c>
      <c r="B3" s="226">
        <f>+_xlfn.XLOOKUP(B2,'Evolución Deuda Total'!4:4,'Evolución Deuda Total'!7:7)</f>
        <v>9595.7892442100001</v>
      </c>
      <c r="C3" s="226">
        <f>+_xlfn.XLOOKUP(C2,'Evolución Deuda Total'!4:4,'Evolución Deuda Total'!7:7)</f>
        <v>10054.44866702</v>
      </c>
      <c r="D3" s="226">
        <f>+_xlfn.XLOOKUP(D2,'Evolución Deuda Total'!4:4,'Evolución Deuda Total'!7:7)</f>
        <v>10277.67203896</v>
      </c>
      <c r="E3" s="226">
        <f>+_xlfn.XLOOKUP(E2,'Evolución Deuda Total'!4:4,'Evolución Deuda Total'!7:7)</f>
        <v>11311.607368460001</v>
      </c>
      <c r="F3" s="226">
        <f>+_xlfn.XLOOKUP(F2,'Evolución Deuda Total'!4:4,'Evolución Deuda Total'!7:7)</f>
        <v>10243.55921521</v>
      </c>
      <c r="G3" s="226">
        <f>+_xlfn.XLOOKUP(G2,'Evolución Deuda Total'!4:4,'Evolución Deuda Total'!7:7)</f>
        <v>11670.570962289999</v>
      </c>
      <c r="H3" s="226">
        <f>+_xlfn.XLOOKUP(H2,'Evolución Deuda Total'!4:4,'Evolución Deuda Total'!7:7)</f>
        <v>12214.777311260001</v>
      </c>
      <c r="I3" s="226">
        <f>+_xlfn.XLOOKUP(I2,'Evolución Deuda Total'!4:4,'Evolución Deuda Total'!7:7)</f>
        <v>19341.371375745901</v>
      </c>
      <c r="J3" s="226">
        <f>+_xlfn.XLOOKUP(J2,'Evolución Deuda Total'!4:4,'Evolución Deuda Total'!7:7)</f>
        <v>17301.287027842955</v>
      </c>
      <c r="K3" s="226">
        <f>+_xlfn.XLOOKUP(K2,'Evolución Deuda Total'!4:4,'Evolución Deuda Total'!7:7)</f>
        <v>25163.553875407499</v>
      </c>
      <c r="L3" s="226">
        <f>+_xlfn.XLOOKUP(L2,'Evolución Deuda Total'!4:4,'Evolución Deuda Total'!7:7)</f>
        <v>26974.277571758528</v>
      </c>
      <c r="M3" s="226">
        <f>+_xlfn.XLOOKUP(M2,'Evolución Deuda Total'!4:4,'Evolución Deuda Total'!7:7)</f>
        <v>28856.463975405597</v>
      </c>
      <c r="N3" s="226">
        <f>+_xlfn.XLOOKUP(N2,'Evolución Deuda Total'!4:4,'Evolución Deuda Total'!7:7)</f>
        <v>27813.044351214266</v>
      </c>
      <c r="O3" s="226">
        <f>+_xlfn.XLOOKUP(O2,'Evolución Deuda Total'!4:4,'Evolución Deuda Total'!7:7)</f>
        <v>34721.845252353349</v>
      </c>
      <c r="P3" s="226">
        <f>+_xlfn.XLOOKUP(P2,'Evolución Deuda Total'!4:4,'Evolución Deuda Total'!7:7)</f>
        <v>35143.966680540674</v>
      </c>
      <c r="Q3" s="226">
        <f>+_xlfn.XLOOKUP(Q2,'Evolución Deuda Total'!4:4,'Evolución Deuda Total'!7:7)</f>
        <v>36118.107128408214</v>
      </c>
      <c r="R3" s="226">
        <f>+_xlfn.XLOOKUP(R2,'Evolución Deuda Total'!4:4,'Evolución Deuda Total'!7:7)</f>
        <v>38411.005886231746</v>
      </c>
      <c r="S3" s="226">
        <f>+_xlfn.XLOOKUP(S2,'Evolución Deuda Total'!4:4,'Evolución Deuda Total'!7:7)</f>
        <v>45078.167330485368</v>
      </c>
      <c r="T3" s="226">
        <f>+_xlfn.XLOOKUP(T2,'Evolución Deuda Total'!4:4,'Evolución Deuda Total'!7:7)</f>
        <v>52158.216815698863</v>
      </c>
      <c r="U3" s="226">
        <f>+_xlfn.XLOOKUP(U2,'Evolución Deuda Total'!4:4,'Evolución Deuda Total'!7:7)</f>
        <v>53969.19287518537</v>
      </c>
      <c r="V3" s="226">
        <f>+_xlfn.XLOOKUP(V2,'Evolución Deuda Total'!4:4,'Evolución Deuda Total'!7:7)</f>
        <v>57436.301997247203</v>
      </c>
      <c r="W3" s="226">
        <f>+_xlfn.XLOOKUP(W2,'Evolución Deuda Total'!4:4,'Evolución Deuda Total'!7:7)</f>
        <v>61807.524405070901</v>
      </c>
      <c r="X3" s="226">
        <f>+_xlfn.XLOOKUP(X2,'Evolución Deuda Total'!4:4,'Evolución Deuda Total'!7:7)</f>
        <v>74754.60925710127</v>
      </c>
      <c r="Y3" s="226">
        <f>+_xlfn.XLOOKUP(Y2,'Evolución Deuda Total'!4:4,'Evolución Deuda Total'!7:7)</f>
        <v>82512.896920442698</v>
      </c>
      <c r="Z3" s="226">
        <f>+_xlfn.XLOOKUP(Z2,'Evolución Deuda Total'!4:4,'Evolución Deuda Total'!7:7)</f>
        <v>80568.265416958544</v>
      </c>
      <c r="AA3" s="226">
        <f>+_xlfn.XLOOKUP(AA2,'Evolución Deuda Total'!4:4,'Evolución Deuda Total'!7:7)</f>
        <v>88114.501807707595</v>
      </c>
      <c r="AB3" s="226">
        <f>+_xlfn.XLOOKUP(AB2,'Evolución Deuda Total'!4:4,'Evolución Deuda Total'!7:7)</f>
        <v>94876.672754353975</v>
      </c>
      <c r="AC3" s="226">
        <f>+_xlfn.XLOOKUP(AC2,'Evolución Deuda Total'!4:4,'Evolución Deuda Total'!7:7)</f>
        <v>113857.92866559949</v>
      </c>
      <c r="AD3" s="226">
        <f>+_xlfn.XLOOKUP(AD2,'Evolución Deuda Total'!4:4,'Evolución Deuda Total'!7:7)</f>
        <v>110213.2372194096</v>
      </c>
      <c r="AE3" s="226">
        <f>+_xlfn.XLOOKUP(AE2,'Evolución Deuda Total'!4:4,'Evolución Deuda Total'!7:7)</f>
        <v>112324.6814903288</v>
      </c>
      <c r="AF3" s="226">
        <f>+_xlfn.XLOOKUP(AF2,'Evolución Deuda Total'!4:4,'Evolución Deuda Total'!7:7)</f>
        <v>122062.20787198372</v>
      </c>
      <c r="AG3" s="226">
        <f>+_xlfn.XLOOKUP(AG2,'Evolución Deuda Total'!4:4,'Evolución Deuda Total'!7:7)</f>
        <v>144730.96280351933</v>
      </c>
      <c r="AH3" s="226">
        <f>+_xlfn.XLOOKUP(AH2,'Evolución Deuda Total'!4:4,'Evolución Deuda Total'!7:7)</f>
        <v>132286.93370824342</v>
      </c>
      <c r="AI3" s="226">
        <f>+_xlfn.XLOOKUP(AI2,'Evolución Deuda Total'!4:4,'Evolución Deuda Total'!7:7)</f>
        <v>148808.39178993742</v>
      </c>
      <c r="AJ3" s="226">
        <f>+_xlfn.XLOOKUP(AJ2,'Evolución Deuda Total'!4:4,'Evolución Deuda Total'!7:7)</f>
        <v>166947.41691268218</v>
      </c>
      <c r="AK3" s="226">
        <f>+_xlfn.XLOOKUP(AK2,'Evolución Deuda Total'!4:4,'Evolución Deuda Total'!7:7)</f>
        <v>224667.53603237009</v>
      </c>
      <c r="AL3" s="226">
        <f>+_xlfn.XLOOKUP(AL2,'Evolución Deuda Total'!4:4,'Evolución Deuda Total'!7:7)</f>
        <v>200144.47512748229</v>
      </c>
      <c r="AM3" s="226">
        <f>+_xlfn.XLOOKUP(AM2,'Evolución Deuda Total'!4:4,'Evolución Deuda Total'!7:7)</f>
        <v>243974.74979249097</v>
      </c>
      <c r="AN3" s="226">
        <f>+_xlfn.XLOOKUP(AN2,'Evolución Deuda Total'!4:4,'Evolución Deuda Total'!7:7)</f>
        <v>328860.73552911391</v>
      </c>
      <c r="AO3" s="226">
        <f>+_xlfn.XLOOKUP(AO2,'Evolución Deuda Total'!4:4,'Evolución Deuda Total'!7:7)</f>
        <v>624321.19893288298</v>
      </c>
    </row>
    <row r="4" spans="1:41" x14ac:dyDescent="0.25">
      <c r="A4" t="s">
        <v>181</v>
      </c>
      <c r="B4" s="226">
        <v>137930.72822928464</v>
      </c>
      <c r="C4" s="226">
        <v>137930.72822928464</v>
      </c>
      <c r="D4" s="226">
        <v>137930.72822928464</v>
      </c>
      <c r="E4" s="226">
        <v>137930.72822928464</v>
      </c>
      <c r="F4" s="226">
        <v>177739.4681628228</v>
      </c>
      <c r="G4" s="226">
        <v>177739.4681628228</v>
      </c>
      <c r="H4" s="226">
        <v>177739.4681628228</v>
      </c>
      <c r="I4" s="226">
        <v>177739.4681628228</v>
      </c>
      <c r="J4" s="226">
        <v>228365.98829650076</v>
      </c>
      <c r="K4" s="226">
        <v>228365.98829650076</v>
      </c>
      <c r="L4" s="226">
        <v>228365.98829650076</v>
      </c>
      <c r="M4" s="226">
        <v>228365.98829650076</v>
      </c>
      <c r="N4" s="226">
        <v>294453.18848320906</v>
      </c>
      <c r="O4" s="226">
        <v>294453.18848320906</v>
      </c>
      <c r="P4" s="226">
        <v>294453.18848320906</v>
      </c>
      <c r="Q4" s="226">
        <v>294453.18848320906</v>
      </c>
      <c r="R4" s="226">
        <v>417573.08149670227</v>
      </c>
      <c r="S4" s="226">
        <v>417573.08149670227</v>
      </c>
      <c r="T4" s="226">
        <v>417573.08149670227</v>
      </c>
      <c r="U4" s="226">
        <v>417573.08149670227</v>
      </c>
      <c r="V4" s="226">
        <v>600563.86334437726</v>
      </c>
      <c r="W4" s="226">
        <v>600563.86334437726</v>
      </c>
      <c r="X4" s="226">
        <v>600563.86334437726</v>
      </c>
      <c r="Y4" s="226">
        <v>600563.86334437726</v>
      </c>
      <c r="Z4" s="226">
        <v>691024.16193617671</v>
      </c>
      <c r="AA4" s="226">
        <v>691024.16193617671</v>
      </c>
      <c r="AB4" s="226">
        <v>691024.16193617671</v>
      </c>
      <c r="AC4" s="226">
        <v>691024.16193617671</v>
      </c>
      <c r="AD4" s="226">
        <v>1128096.4891850289</v>
      </c>
      <c r="AE4" s="226">
        <v>1128096.4891850289</v>
      </c>
      <c r="AF4" s="226">
        <v>1128096.4891850289</v>
      </c>
      <c r="AG4" s="226">
        <v>1128096.4891850289</v>
      </c>
      <c r="AH4" s="226">
        <v>2157655.548705894</v>
      </c>
      <c r="AI4" s="226">
        <v>2157655.548705894</v>
      </c>
      <c r="AJ4" s="226">
        <v>2157655.548705894</v>
      </c>
      <c r="AK4" s="226">
        <v>2157655.548705894</v>
      </c>
      <c r="AL4" s="226">
        <v>4907227.7954362687</v>
      </c>
      <c r="AM4" s="226">
        <v>4907227.7954362687</v>
      </c>
      <c r="AN4" s="226">
        <v>4907227.7954362687</v>
      </c>
      <c r="AO4" s="226">
        <v>4907227.7954362687</v>
      </c>
    </row>
    <row r="6" spans="1:41" x14ac:dyDescent="0.25">
      <c r="A6" t="s">
        <v>183</v>
      </c>
      <c r="B6" s="111">
        <f>+B3/B4</f>
        <v>6.9569626488586028E-2</v>
      </c>
      <c r="C6" s="111">
        <f t="shared" ref="C6:AO6" si="0">+C3/C4</f>
        <v>7.2894914687221229E-2</v>
      </c>
      <c r="D6" s="111">
        <f t="shared" si="0"/>
        <v>7.4513287727120875E-2</v>
      </c>
      <c r="E6" s="111">
        <f t="shared" si="0"/>
        <v>8.2009335509753284E-2</v>
      </c>
      <c r="F6" s="111">
        <f t="shared" si="0"/>
        <v>5.7632439891325229E-2</v>
      </c>
      <c r="G6" s="111">
        <f t="shared" si="0"/>
        <v>6.5661111079723014E-2</v>
      </c>
      <c r="H6" s="111">
        <f t="shared" si="0"/>
        <v>6.8722931589231165E-2</v>
      </c>
      <c r="I6" s="111">
        <f t="shared" si="0"/>
        <v>0.10881866349474918</v>
      </c>
      <c r="J6" s="111">
        <f t="shared" si="0"/>
        <v>7.5761225026993492E-2</v>
      </c>
      <c r="K6" s="111">
        <f t="shared" si="0"/>
        <v>0.11018958673800497</v>
      </c>
      <c r="L6" s="111">
        <f t="shared" si="0"/>
        <v>0.11811862954275076</v>
      </c>
      <c r="M6" s="111">
        <f t="shared" si="0"/>
        <v>0.12636060295432253</v>
      </c>
      <c r="N6" s="111">
        <f t="shared" si="0"/>
        <v>9.4456590857396272E-2</v>
      </c>
      <c r="O6" s="111">
        <f t="shared" si="0"/>
        <v>0.11791974619535604</v>
      </c>
      <c r="P6" s="111">
        <f t="shared" si="0"/>
        <v>0.11935332356757525</v>
      </c>
      <c r="Q6" s="111">
        <f t="shared" si="0"/>
        <v>0.12266162684282775</v>
      </c>
      <c r="R6" s="111">
        <f t="shared" si="0"/>
        <v>9.1986307519047031E-2</v>
      </c>
      <c r="S6" s="111">
        <f t="shared" si="0"/>
        <v>0.10795276163135857</v>
      </c>
      <c r="T6" s="111">
        <f t="shared" si="0"/>
        <v>0.12490799605364594</v>
      </c>
      <c r="U6" s="111">
        <f t="shared" si="0"/>
        <v>0.12924490410575373</v>
      </c>
      <c r="V6" s="111">
        <f t="shared" si="0"/>
        <v>9.5637292722542469E-2</v>
      </c>
      <c r="W6" s="111">
        <f t="shared" si="0"/>
        <v>0.10291582324131453</v>
      </c>
      <c r="X6" s="111">
        <f t="shared" si="0"/>
        <v>0.12447403818273901</v>
      </c>
      <c r="Y6" s="111">
        <f t="shared" si="0"/>
        <v>0.13739237732512036</v>
      </c>
      <c r="Z6" s="111">
        <f t="shared" si="0"/>
        <v>0.11659254459527837</v>
      </c>
      <c r="AA6" s="111">
        <f t="shared" si="0"/>
        <v>0.12751291005631418</v>
      </c>
      <c r="AB6" s="111">
        <f t="shared" si="0"/>
        <v>0.13729863292843417</v>
      </c>
      <c r="AC6" s="111">
        <f t="shared" si="0"/>
        <v>0.16476692847697483</v>
      </c>
      <c r="AD6" s="111">
        <f t="shared" si="0"/>
        <v>9.7698413456663594E-2</v>
      </c>
      <c r="AE6" s="111">
        <f t="shared" si="0"/>
        <v>9.9570101110300901E-2</v>
      </c>
      <c r="AF6" s="111">
        <f t="shared" si="0"/>
        <v>0.10820192159286406</v>
      </c>
      <c r="AG6" s="111">
        <f t="shared" si="0"/>
        <v>0.12829661663788827</v>
      </c>
      <c r="AH6" s="111">
        <f t="shared" si="0"/>
        <v>6.131049684347703E-2</v>
      </c>
      <c r="AI6" s="111">
        <f t="shared" si="0"/>
        <v>6.8967631037859051E-2</v>
      </c>
      <c r="AJ6" s="111">
        <f t="shared" si="0"/>
        <v>7.7374452568582094E-2</v>
      </c>
      <c r="AK6" s="111">
        <f t="shared" si="0"/>
        <v>0.10412576565667299</v>
      </c>
      <c r="AL6" s="111">
        <f t="shared" si="0"/>
        <v>4.0785649957725018E-2</v>
      </c>
      <c r="AM6" s="111">
        <f t="shared" si="0"/>
        <v>4.971742905829396E-2</v>
      </c>
      <c r="AN6" s="111">
        <f t="shared" si="0"/>
        <v>6.7015583795591277E-2</v>
      </c>
      <c r="AO6" s="111">
        <f t="shared" si="0"/>
        <v>0.12722482529005538</v>
      </c>
    </row>
    <row r="9" spans="1:41" x14ac:dyDescent="0.25">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row>
    <row r="11" spans="1:41" x14ac:dyDescent="0.25">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row>
    <row r="12" spans="1:41" x14ac:dyDescent="0.25">
      <c r="AO12" s="228"/>
    </row>
    <row r="13" spans="1:41" x14ac:dyDescent="0.25">
      <c r="AO13" s="229"/>
    </row>
    <row r="14" spans="1:41" x14ac:dyDescent="0.25">
      <c r="AO14" s="123"/>
    </row>
    <row r="16" spans="1:41" x14ac:dyDescent="0.25">
      <c r="AO16" s="226"/>
    </row>
    <row r="17" spans="41:41" x14ac:dyDescent="0.25">
      <c r="AO17" s="22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D51"/>
  <sheetViews>
    <sheetView showGridLines="0" zoomScale="95" zoomScaleNormal="95" workbookViewId="0">
      <pane xSplit="2" ySplit="1" topLeftCell="C2" activePane="bottomRight" state="frozen"/>
      <selection activeCell="F22" sqref="F22:Q22"/>
      <selection pane="topRight" activeCell="F22" sqref="F22:Q22"/>
      <selection pane="bottomLeft" activeCell="F22" sqref="F22:Q22"/>
      <selection pane="bottomRight"/>
    </sheetView>
  </sheetViews>
  <sheetFormatPr baseColWidth="10" defaultRowHeight="16.5" x14ac:dyDescent="0.3"/>
  <cols>
    <col min="1" max="1" width="5.28515625" style="16" customWidth="1"/>
    <col min="2" max="2" width="43.7109375" style="2" bestFit="1" customWidth="1"/>
    <col min="3" max="3" width="12.5703125" style="2" customWidth="1"/>
    <col min="4" max="4" width="30.85546875" style="2" customWidth="1"/>
    <col min="5" max="5" width="13.7109375" style="1" customWidth="1"/>
    <col min="6" max="17" width="11.42578125" style="1"/>
    <col min="18" max="18" width="12" style="1" customWidth="1"/>
    <col min="19" max="16384" width="11.42578125" style="1"/>
  </cols>
  <sheetData>
    <row r="1" spans="1:29" ht="28.5" customHeight="1" x14ac:dyDescent="0.3">
      <c r="B1" s="289" t="s">
        <v>37</v>
      </c>
      <c r="C1" s="289"/>
      <c r="D1" s="289"/>
      <c r="E1" s="289"/>
      <c r="S1" s="13"/>
    </row>
    <row r="2" spans="1:29" ht="17.25" x14ac:dyDescent="0.3">
      <c r="B2" s="158" t="s">
        <v>44</v>
      </c>
    </row>
    <row r="4" spans="1:29" ht="30.75" customHeight="1" x14ac:dyDescent="0.3">
      <c r="B4" s="315" t="s">
        <v>126</v>
      </c>
      <c r="C4" s="315"/>
      <c r="D4" s="315"/>
      <c r="F4" s="114"/>
      <c r="G4" s="114"/>
      <c r="H4" s="114"/>
      <c r="I4" s="114"/>
      <c r="J4" s="114"/>
      <c r="K4" s="114"/>
      <c r="L4" s="114"/>
      <c r="M4" s="114"/>
      <c r="N4" s="114"/>
      <c r="O4" s="114"/>
      <c r="P4" s="114"/>
      <c r="Q4" s="114"/>
      <c r="R4" s="114"/>
      <c r="S4" s="114"/>
      <c r="T4" s="114"/>
      <c r="U4" s="114"/>
      <c r="V4" s="114"/>
      <c r="W4" s="114"/>
      <c r="X4" s="114"/>
      <c r="Y4" s="114"/>
      <c r="Z4" s="114"/>
      <c r="AA4" s="114"/>
      <c r="AB4" s="114"/>
      <c r="AC4" s="114"/>
    </row>
    <row r="5" spans="1:29" ht="15.75" customHeight="1" x14ac:dyDescent="0.3">
      <c r="B5" s="311" t="s">
        <v>0</v>
      </c>
      <c r="C5" s="313" t="s">
        <v>1</v>
      </c>
      <c r="D5" s="299" t="s">
        <v>91</v>
      </c>
      <c r="F5" s="183">
        <v>2025</v>
      </c>
      <c r="G5" s="183">
        <v>2025</v>
      </c>
      <c r="H5" s="183">
        <v>2025</v>
      </c>
      <c r="I5" s="183">
        <v>2025</v>
      </c>
      <c r="J5" s="183">
        <v>2025</v>
      </c>
      <c r="K5" s="183">
        <v>2025</v>
      </c>
      <c r="L5" s="183">
        <v>2025</v>
      </c>
      <c r="M5" s="183">
        <v>2025</v>
      </c>
      <c r="N5" s="183">
        <v>2025</v>
      </c>
      <c r="O5" s="183">
        <v>2025</v>
      </c>
      <c r="P5" s="183">
        <v>2025</v>
      </c>
      <c r="Q5" s="183">
        <v>2025</v>
      </c>
      <c r="R5" s="183">
        <v>2026</v>
      </c>
      <c r="S5" s="183">
        <v>2026</v>
      </c>
      <c r="T5" s="183">
        <v>2026</v>
      </c>
      <c r="U5" s="183">
        <v>2026</v>
      </c>
      <c r="V5" s="183">
        <v>2026</v>
      </c>
      <c r="W5" s="183">
        <v>2026</v>
      </c>
      <c r="X5" s="183">
        <v>2026</v>
      </c>
      <c r="Y5" s="183">
        <v>2026</v>
      </c>
      <c r="Z5" s="183">
        <v>2026</v>
      </c>
      <c r="AA5" s="183">
        <v>2026</v>
      </c>
      <c r="AB5" s="183">
        <v>2026</v>
      </c>
      <c r="AC5" s="183">
        <v>2026</v>
      </c>
    </row>
    <row r="6" spans="1:29" x14ac:dyDescent="0.3">
      <c r="B6" s="312"/>
      <c r="C6" s="314"/>
      <c r="D6" s="300"/>
      <c r="F6" s="183">
        <v>1</v>
      </c>
      <c r="G6" s="183">
        <f>+F6+1</f>
        <v>2</v>
      </c>
      <c r="H6" s="183">
        <f t="shared" ref="H6:Q6" si="0">+G6+1</f>
        <v>3</v>
      </c>
      <c r="I6" s="183">
        <f t="shared" si="0"/>
        <v>4</v>
      </c>
      <c r="J6" s="183">
        <f t="shared" si="0"/>
        <v>5</v>
      </c>
      <c r="K6" s="183">
        <f t="shared" si="0"/>
        <v>6</v>
      </c>
      <c r="L6" s="183">
        <f t="shared" si="0"/>
        <v>7</v>
      </c>
      <c r="M6" s="183">
        <f t="shared" si="0"/>
        <v>8</v>
      </c>
      <c r="N6" s="183">
        <f t="shared" si="0"/>
        <v>9</v>
      </c>
      <c r="O6" s="183">
        <f t="shared" si="0"/>
        <v>10</v>
      </c>
      <c r="P6" s="183">
        <f t="shared" si="0"/>
        <v>11</v>
      </c>
      <c r="Q6" s="183">
        <f t="shared" si="0"/>
        <v>12</v>
      </c>
      <c r="R6" s="183">
        <v>1</v>
      </c>
      <c r="S6" s="183">
        <f>+R6+1</f>
        <v>2</v>
      </c>
      <c r="T6" s="183">
        <f t="shared" ref="T6" si="1">+S6+1</f>
        <v>3</v>
      </c>
      <c r="U6" s="183">
        <f t="shared" ref="U6" si="2">+T6+1</f>
        <v>4</v>
      </c>
      <c r="V6" s="183">
        <f t="shared" ref="V6" si="3">+U6+1</f>
        <v>5</v>
      </c>
      <c r="W6" s="183">
        <f t="shared" ref="W6" si="4">+V6+1</f>
        <v>6</v>
      </c>
      <c r="X6" s="183">
        <f t="shared" ref="X6" si="5">+W6+1</f>
        <v>7</v>
      </c>
      <c r="Y6" s="183">
        <f t="shared" ref="Y6" si="6">+X6+1</f>
        <v>8</v>
      </c>
      <c r="Z6" s="183">
        <f t="shared" ref="Z6" si="7">+Y6+1</f>
        <v>9</v>
      </c>
      <c r="AA6" s="183">
        <f t="shared" ref="AA6" si="8">+Z6+1</f>
        <v>10</v>
      </c>
      <c r="AB6" s="183">
        <f t="shared" ref="AB6" si="9">+AA6+1</f>
        <v>11</v>
      </c>
      <c r="AC6" s="183">
        <f t="shared" ref="AC6" si="10">+AB6+1</f>
        <v>12</v>
      </c>
    </row>
    <row r="7" spans="1:29" x14ac:dyDescent="0.3">
      <c r="A7" s="84"/>
      <c r="B7" s="201" t="s">
        <v>5</v>
      </c>
      <c r="C7" s="201" t="s">
        <v>6</v>
      </c>
      <c r="D7" s="201" t="s">
        <v>85</v>
      </c>
      <c r="E7" s="58"/>
      <c r="F7" s="213">
        <v>3.6261795700000001</v>
      </c>
      <c r="G7" s="213">
        <v>0</v>
      </c>
      <c r="H7" s="213">
        <v>0</v>
      </c>
      <c r="I7" s="213">
        <v>2.60720091</v>
      </c>
      <c r="J7" s="213">
        <v>0</v>
      </c>
      <c r="K7" s="213">
        <v>0</v>
      </c>
      <c r="L7" s="213">
        <v>2.08842397</v>
      </c>
      <c r="M7" s="213">
        <v>0</v>
      </c>
      <c r="N7" s="213">
        <v>0</v>
      </c>
      <c r="O7" s="213">
        <v>1.5835952099999999</v>
      </c>
      <c r="P7" s="213">
        <v>0</v>
      </c>
      <c r="Q7" s="213">
        <v>0</v>
      </c>
      <c r="R7" s="213">
        <v>1.1454815899999999</v>
      </c>
      <c r="S7" s="213">
        <v>0</v>
      </c>
      <c r="T7" s="213">
        <v>0</v>
      </c>
      <c r="U7" s="213">
        <v>0.67176338000000002</v>
      </c>
      <c r="V7" s="213">
        <v>0</v>
      </c>
      <c r="W7" s="213">
        <v>0</v>
      </c>
      <c r="X7" s="213">
        <v>0.39705535999999997</v>
      </c>
      <c r="Y7" s="213">
        <v>0</v>
      </c>
      <c r="Z7" s="213">
        <v>0</v>
      </c>
      <c r="AA7" s="213">
        <v>0.18209704999999998</v>
      </c>
      <c r="AB7" s="213">
        <v>0</v>
      </c>
      <c r="AC7" s="213">
        <v>0</v>
      </c>
    </row>
    <row r="8" spans="1:29" x14ac:dyDescent="0.3">
      <c r="A8" s="84"/>
      <c r="B8" s="201" t="s">
        <v>163</v>
      </c>
      <c r="C8" s="201" t="s">
        <v>158</v>
      </c>
      <c r="D8" s="201" t="s">
        <v>89</v>
      </c>
      <c r="E8" s="58"/>
      <c r="F8" s="213">
        <v>0</v>
      </c>
      <c r="G8" s="213">
        <v>0</v>
      </c>
      <c r="H8" s="213">
        <v>181.09897502000001</v>
      </c>
      <c r="I8" s="213">
        <v>0</v>
      </c>
      <c r="J8" s="213">
        <v>0</v>
      </c>
      <c r="K8" s="213">
        <v>84.524918830000004</v>
      </c>
      <c r="L8" s="213">
        <v>0</v>
      </c>
      <c r="M8" s="213">
        <v>0</v>
      </c>
      <c r="N8" s="213">
        <v>0</v>
      </c>
      <c r="O8" s="213">
        <v>0</v>
      </c>
      <c r="P8" s="213">
        <v>0</v>
      </c>
      <c r="Q8" s="213">
        <v>0</v>
      </c>
      <c r="R8" s="213">
        <v>0</v>
      </c>
      <c r="S8" s="213">
        <v>0</v>
      </c>
      <c r="T8" s="213">
        <v>0</v>
      </c>
      <c r="U8" s="213">
        <v>0</v>
      </c>
      <c r="V8" s="213">
        <v>0</v>
      </c>
      <c r="W8" s="213">
        <v>0</v>
      </c>
      <c r="X8" s="213">
        <v>0</v>
      </c>
      <c r="Y8" s="213">
        <v>0</v>
      </c>
      <c r="Z8" s="213">
        <v>0</v>
      </c>
      <c r="AA8" s="213">
        <v>0</v>
      </c>
      <c r="AB8" s="213">
        <v>0</v>
      </c>
      <c r="AC8" s="213">
        <v>0</v>
      </c>
    </row>
    <row r="9" spans="1:29" x14ac:dyDescent="0.3">
      <c r="A9" s="84"/>
      <c r="B9" s="201" t="s">
        <v>129</v>
      </c>
      <c r="C9" s="201" t="s">
        <v>130</v>
      </c>
      <c r="D9" s="201" t="s">
        <v>89</v>
      </c>
      <c r="E9" s="58"/>
      <c r="F9" s="213">
        <v>0</v>
      </c>
      <c r="G9" s="213">
        <v>0</v>
      </c>
      <c r="H9" s="213">
        <v>377.27789429988695</v>
      </c>
      <c r="I9" s="213">
        <v>0</v>
      </c>
      <c r="J9" s="213">
        <v>0</v>
      </c>
      <c r="K9" s="213">
        <v>331.29513018399797</v>
      </c>
      <c r="L9" s="213">
        <v>0</v>
      </c>
      <c r="M9" s="213">
        <v>0</v>
      </c>
      <c r="N9" s="213">
        <v>298.46307994083048</v>
      </c>
      <c r="O9" s="213">
        <v>0</v>
      </c>
      <c r="P9" s="213">
        <v>0</v>
      </c>
      <c r="Q9" s="213">
        <v>257.54977933448663</v>
      </c>
      <c r="R9" s="213">
        <v>0</v>
      </c>
      <c r="S9" s="213">
        <v>0</v>
      </c>
      <c r="T9" s="213">
        <v>240.92825840892743</v>
      </c>
      <c r="U9" s="213">
        <v>0</v>
      </c>
      <c r="V9" s="213">
        <v>0</v>
      </c>
      <c r="W9" s="213">
        <v>200.21384531090365</v>
      </c>
      <c r="X9" s="213">
        <v>0</v>
      </c>
      <c r="Y9" s="213">
        <v>0</v>
      </c>
      <c r="Z9" s="213">
        <v>177.04894831022355</v>
      </c>
      <c r="AA9" s="213">
        <v>0</v>
      </c>
      <c r="AB9" s="213">
        <v>0</v>
      </c>
      <c r="AC9" s="213">
        <v>139.37339306805271</v>
      </c>
    </row>
    <row r="10" spans="1:29" x14ac:dyDescent="0.3">
      <c r="A10" s="84"/>
      <c r="B10" s="201" t="s">
        <v>124</v>
      </c>
      <c r="C10" s="201" t="s">
        <v>125</v>
      </c>
      <c r="D10" s="201" t="s">
        <v>89</v>
      </c>
      <c r="E10" s="58"/>
      <c r="F10" s="213">
        <v>0</v>
      </c>
      <c r="G10" s="213">
        <v>37.100507481559603</v>
      </c>
      <c r="H10" s="213">
        <v>0</v>
      </c>
      <c r="I10" s="213">
        <v>0</v>
      </c>
      <c r="J10" s="213">
        <v>17.195144652265608</v>
      </c>
      <c r="K10" s="213">
        <v>0</v>
      </c>
      <c r="L10" s="213">
        <v>0</v>
      </c>
      <c r="M10" s="213">
        <v>0</v>
      </c>
      <c r="N10" s="213">
        <v>0</v>
      </c>
      <c r="O10" s="213">
        <v>0</v>
      </c>
      <c r="P10" s="213">
        <v>0</v>
      </c>
      <c r="Q10" s="213">
        <v>0</v>
      </c>
      <c r="R10" s="213">
        <v>0</v>
      </c>
      <c r="S10" s="213">
        <v>0</v>
      </c>
      <c r="T10" s="213">
        <v>0</v>
      </c>
      <c r="U10" s="213">
        <v>0</v>
      </c>
      <c r="V10" s="213">
        <v>0</v>
      </c>
      <c r="W10" s="213">
        <v>0</v>
      </c>
      <c r="X10" s="213">
        <v>0</v>
      </c>
      <c r="Y10" s="213">
        <v>0</v>
      </c>
      <c r="Z10" s="213">
        <v>0</v>
      </c>
      <c r="AA10" s="213">
        <v>0</v>
      </c>
      <c r="AB10" s="213">
        <v>0</v>
      </c>
      <c r="AC10" s="213">
        <v>0</v>
      </c>
    </row>
    <row r="11" spans="1:29" x14ac:dyDescent="0.3">
      <c r="A11" s="84"/>
      <c r="B11" s="201" t="s">
        <v>32</v>
      </c>
      <c r="C11" s="201" t="s">
        <v>33</v>
      </c>
      <c r="D11" s="201" t="s">
        <v>89</v>
      </c>
      <c r="E11" s="58"/>
      <c r="F11" s="213">
        <v>0</v>
      </c>
      <c r="G11" s="213">
        <v>1.3686136674161151</v>
      </c>
      <c r="H11" s="213">
        <v>0</v>
      </c>
      <c r="I11" s="213">
        <v>0</v>
      </c>
      <c r="J11" s="213">
        <v>0</v>
      </c>
      <c r="K11" s="213">
        <v>0</v>
      </c>
      <c r="L11" s="213">
        <v>0</v>
      </c>
      <c r="M11" s="213">
        <v>0.50182136500840668</v>
      </c>
      <c r="N11" s="213">
        <v>0</v>
      </c>
      <c r="O11" s="213">
        <v>0</v>
      </c>
      <c r="P11" s="213">
        <v>0</v>
      </c>
      <c r="Q11" s="213">
        <v>0</v>
      </c>
      <c r="R11" s="213">
        <v>0</v>
      </c>
      <c r="S11" s="213">
        <v>0</v>
      </c>
      <c r="T11" s="213">
        <v>0</v>
      </c>
      <c r="U11" s="213">
        <v>0</v>
      </c>
      <c r="V11" s="213">
        <v>0</v>
      </c>
      <c r="W11" s="213">
        <v>0</v>
      </c>
      <c r="X11" s="213">
        <v>0</v>
      </c>
      <c r="Y11" s="213">
        <v>0</v>
      </c>
      <c r="Z11" s="213">
        <v>0</v>
      </c>
      <c r="AA11" s="213">
        <v>0</v>
      </c>
      <c r="AB11" s="213">
        <v>0</v>
      </c>
      <c r="AC11" s="213">
        <v>0</v>
      </c>
    </row>
    <row r="12" spans="1:29" x14ac:dyDescent="0.3">
      <c r="A12" s="84"/>
      <c r="B12" s="201" t="s">
        <v>223</v>
      </c>
      <c r="C12" s="201" t="s">
        <v>225</v>
      </c>
      <c r="D12" s="201" t="s">
        <v>89</v>
      </c>
      <c r="E12" s="58"/>
      <c r="F12" s="213">
        <v>0</v>
      </c>
      <c r="G12" s="213">
        <v>0</v>
      </c>
      <c r="H12" s="213">
        <v>0</v>
      </c>
      <c r="I12" s="213">
        <v>0</v>
      </c>
      <c r="J12" s="213">
        <v>0</v>
      </c>
      <c r="K12" s="213">
        <v>0</v>
      </c>
      <c r="L12" s="213">
        <v>0</v>
      </c>
      <c r="M12" s="213">
        <v>0</v>
      </c>
      <c r="N12" s="213">
        <v>0</v>
      </c>
      <c r="O12" s="213">
        <v>0</v>
      </c>
      <c r="P12" s="213">
        <v>0</v>
      </c>
      <c r="Q12" s="213">
        <v>0</v>
      </c>
      <c r="R12" s="213">
        <v>0</v>
      </c>
      <c r="S12" s="213">
        <v>0</v>
      </c>
      <c r="T12" s="213">
        <v>0</v>
      </c>
      <c r="U12" s="213">
        <v>0</v>
      </c>
      <c r="V12" s="213">
        <v>0</v>
      </c>
      <c r="W12" s="213">
        <v>0</v>
      </c>
      <c r="X12" s="213">
        <v>0</v>
      </c>
      <c r="Y12" s="213">
        <v>0</v>
      </c>
      <c r="Z12" s="213">
        <v>0</v>
      </c>
      <c r="AA12" s="213">
        <v>0</v>
      </c>
      <c r="AB12" s="213">
        <v>0</v>
      </c>
      <c r="AC12" s="213">
        <v>0</v>
      </c>
    </row>
    <row r="13" spans="1:29" x14ac:dyDescent="0.3">
      <c r="A13" s="84"/>
      <c r="B13" s="201" t="s">
        <v>224</v>
      </c>
      <c r="C13" s="201" t="s">
        <v>226</v>
      </c>
      <c r="D13" s="201" t="s">
        <v>89</v>
      </c>
      <c r="E13" s="58"/>
      <c r="F13" s="213">
        <v>0</v>
      </c>
      <c r="G13" s="213">
        <v>0</v>
      </c>
      <c r="H13" s="213">
        <v>0</v>
      </c>
      <c r="I13" s="213">
        <v>0</v>
      </c>
      <c r="J13" s="213">
        <v>0</v>
      </c>
      <c r="K13" s="213">
        <v>0</v>
      </c>
      <c r="L13" s="213">
        <v>0</v>
      </c>
      <c r="M13" s="213">
        <v>0</v>
      </c>
      <c r="N13" s="213">
        <v>0</v>
      </c>
      <c r="O13" s="213">
        <v>0</v>
      </c>
      <c r="P13" s="213">
        <v>0</v>
      </c>
      <c r="Q13" s="213">
        <v>0</v>
      </c>
      <c r="R13" s="213">
        <v>0</v>
      </c>
      <c r="S13" s="213">
        <v>0</v>
      </c>
      <c r="T13" s="213">
        <v>0</v>
      </c>
      <c r="U13" s="213">
        <v>0</v>
      </c>
      <c r="V13" s="213">
        <v>0</v>
      </c>
      <c r="W13" s="213">
        <v>0</v>
      </c>
      <c r="X13" s="213">
        <v>0</v>
      </c>
      <c r="Y13" s="213">
        <v>0</v>
      </c>
      <c r="Z13" s="213">
        <v>0</v>
      </c>
      <c r="AA13" s="213">
        <v>0</v>
      </c>
      <c r="AB13" s="213">
        <v>0</v>
      </c>
      <c r="AC13" s="213">
        <v>0</v>
      </c>
    </row>
    <row r="14" spans="1:29" x14ac:dyDescent="0.3">
      <c r="A14" s="84"/>
      <c r="B14" s="201" t="s">
        <v>3</v>
      </c>
      <c r="C14" s="201" t="s">
        <v>4</v>
      </c>
      <c r="D14" s="201" t="s">
        <v>85</v>
      </c>
      <c r="E14" s="58"/>
      <c r="F14" s="213">
        <v>1.2488822728677114</v>
      </c>
      <c r="G14" s="213">
        <v>1.2128504</v>
      </c>
      <c r="H14" s="213">
        <v>1.0279571000000001</v>
      </c>
      <c r="I14" s="213">
        <v>0.94526394000000002</v>
      </c>
      <c r="J14" s="213">
        <v>0.88896294000000009</v>
      </c>
      <c r="K14" s="213">
        <v>0.82673554000000005</v>
      </c>
      <c r="L14" s="213">
        <v>0.76734173999999999</v>
      </c>
      <c r="M14" s="213">
        <v>0.6938048200000001</v>
      </c>
      <c r="N14" s="213">
        <v>0.59468984000000014</v>
      </c>
      <c r="O14" s="213">
        <v>0.46387359</v>
      </c>
      <c r="P14" s="213">
        <v>0.38346882999999998</v>
      </c>
      <c r="Q14" s="213">
        <v>0.27832416000000004</v>
      </c>
      <c r="R14" s="213">
        <v>0.18854297999999997</v>
      </c>
      <c r="S14" s="213">
        <v>9.4271489999999986E-2</v>
      </c>
      <c r="T14" s="213">
        <v>0</v>
      </c>
      <c r="U14" s="213">
        <v>0</v>
      </c>
      <c r="V14" s="213">
        <v>0</v>
      </c>
      <c r="W14" s="213">
        <v>0</v>
      </c>
      <c r="X14" s="213">
        <v>0</v>
      </c>
      <c r="Y14" s="213">
        <v>0</v>
      </c>
      <c r="Z14" s="213">
        <v>0</v>
      </c>
      <c r="AA14" s="213">
        <v>0</v>
      </c>
      <c r="AB14" s="213">
        <v>0</v>
      </c>
      <c r="AC14" s="213">
        <v>0</v>
      </c>
    </row>
    <row r="15" spans="1:29" x14ac:dyDescent="0.3">
      <c r="A15" s="84"/>
      <c r="B15" s="201" t="s">
        <v>7</v>
      </c>
      <c r="C15" s="201" t="s">
        <v>8</v>
      </c>
      <c r="D15" s="201" t="s">
        <v>85</v>
      </c>
      <c r="E15" s="58"/>
      <c r="F15" s="213">
        <v>0.11954038193369063</v>
      </c>
      <c r="G15" s="213">
        <v>0.12422432312278958</v>
      </c>
      <c r="H15" s="213">
        <v>0.10455575393545513</v>
      </c>
      <c r="I15" s="213">
        <v>9.6302578966243987E-2</v>
      </c>
      <c r="J15" s="213">
        <v>9.5287387923351174E-2</v>
      </c>
      <c r="K15" s="213">
        <v>8.7523230444056591E-2</v>
      </c>
      <c r="L15" s="213">
        <v>7.4112412936113203E-2</v>
      </c>
      <c r="M15" s="213">
        <v>6.3537456934009237E-2</v>
      </c>
      <c r="N15" s="213">
        <v>5.2947880858486895E-2</v>
      </c>
      <c r="O15" s="213">
        <v>4.099190785448182E-2</v>
      </c>
      <c r="P15" s="213">
        <v>3.0877730641209231E-2</v>
      </c>
      <c r="Q15" s="213">
        <v>1.9921116693486066E-2</v>
      </c>
      <c r="R15" s="213">
        <v>1.0292577191995309E-2</v>
      </c>
      <c r="S15" s="213">
        <v>0</v>
      </c>
      <c r="T15" s="213">
        <v>0</v>
      </c>
      <c r="U15" s="213">
        <v>0</v>
      </c>
      <c r="V15" s="213">
        <v>0</v>
      </c>
      <c r="W15" s="213">
        <v>0</v>
      </c>
      <c r="X15" s="213">
        <v>0</v>
      </c>
      <c r="Y15" s="213">
        <v>0</v>
      </c>
      <c r="Z15" s="213">
        <v>0</v>
      </c>
      <c r="AA15" s="213">
        <v>0</v>
      </c>
      <c r="AB15" s="213">
        <v>0</v>
      </c>
      <c r="AC15" s="213">
        <v>0</v>
      </c>
    </row>
    <row r="16" spans="1:29" x14ac:dyDescent="0.3">
      <c r="A16" s="84"/>
      <c r="B16" s="201" t="s">
        <v>179</v>
      </c>
      <c r="C16" s="201" t="s">
        <v>230</v>
      </c>
      <c r="D16" s="201" t="s">
        <v>85</v>
      </c>
      <c r="E16" s="58"/>
      <c r="F16" s="213">
        <v>8.8236241881087629</v>
      </c>
      <c r="G16" s="213">
        <v>9.4436765147535802</v>
      </c>
      <c r="H16" s="213">
        <v>13.170268594191588</v>
      </c>
      <c r="I16" s="213">
        <v>11.895667130000001</v>
      </c>
      <c r="J16" s="213">
        <v>12.185212658035368</v>
      </c>
      <c r="K16" s="213">
        <v>12.466719221097518</v>
      </c>
      <c r="L16" s="213">
        <v>11.786523202538381</v>
      </c>
      <c r="M16" s="213">
        <v>12.056382993039472</v>
      </c>
      <c r="N16" s="213">
        <v>11.933358676789284</v>
      </c>
      <c r="O16" s="213">
        <v>11.054842474120049</v>
      </c>
      <c r="P16" s="213">
        <v>11.304344127187035</v>
      </c>
      <c r="Q16" s="213">
        <v>10.824533255919373</v>
      </c>
      <c r="R16" s="213">
        <v>10.882157325070047</v>
      </c>
      <c r="S16" s="213">
        <v>10.765144880719783</v>
      </c>
      <c r="T16" s="213">
        <v>9.6176680070434362</v>
      </c>
      <c r="U16" s="213">
        <v>10.372070420403571</v>
      </c>
      <c r="V16" s="213">
        <v>9.9259598646925351</v>
      </c>
      <c r="W16" s="213">
        <v>10.141579966627669</v>
      </c>
      <c r="X16" s="213">
        <v>9.5541162779138453</v>
      </c>
      <c r="Y16" s="213">
        <v>9.7591088110853352</v>
      </c>
      <c r="Z16" s="213">
        <v>9.6456308016596992</v>
      </c>
      <c r="AA16" s="213">
        <v>9.0810063148957347</v>
      </c>
      <c r="AB16" s="213">
        <v>9.2719957334289358</v>
      </c>
      <c r="AC16" s="213">
        <v>8.8647918788376892</v>
      </c>
    </row>
    <row r="17" spans="1:82" s="223" customFormat="1" x14ac:dyDescent="0.3">
      <c r="A17" s="272"/>
      <c r="B17" s="201" t="s">
        <v>135</v>
      </c>
      <c r="C17" s="201" t="s">
        <v>136</v>
      </c>
      <c r="D17" s="201" t="s">
        <v>86</v>
      </c>
      <c r="E17" s="222"/>
      <c r="F17" s="213">
        <v>356.36768931420573</v>
      </c>
      <c r="G17" s="213">
        <v>298.73538461460959</v>
      </c>
      <c r="H17" s="213">
        <v>266.32854454220211</v>
      </c>
      <c r="I17" s="213">
        <v>229.37995308331412</v>
      </c>
      <c r="J17" s="213">
        <v>263.04053775649862</v>
      </c>
      <c r="K17" s="213">
        <v>201.43756532597391</v>
      </c>
      <c r="L17" s="213">
        <v>192.37428380701181</v>
      </c>
      <c r="M17" s="213">
        <v>186.3025532496608</v>
      </c>
      <c r="N17" s="213">
        <v>175.12931329334776</v>
      </c>
      <c r="O17" s="213">
        <v>157.72535475604909</v>
      </c>
      <c r="P17" s="213">
        <v>152.99567858281588</v>
      </c>
      <c r="Q17" s="213">
        <v>138.60508367042411</v>
      </c>
      <c r="R17" s="213">
        <v>133.66741547115112</v>
      </c>
      <c r="S17" s="213">
        <v>124.31806376695874</v>
      </c>
      <c r="T17" s="213">
        <v>102.61367647417845</v>
      </c>
      <c r="U17" s="213">
        <v>103.36842167169563</v>
      </c>
      <c r="V17" s="213">
        <v>89.620202610905466</v>
      </c>
      <c r="W17" s="213">
        <v>82.491474321454092</v>
      </c>
      <c r="X17" s="213">
        <v>70.629972806452002</v>
      </c>
      <c r="Y17" s="213">
        <v>64.051968578857483</v>
      </c>
      <c r="Z17" s="213">
        <v>55.662151728625091</v>
      </c>
      <c r="AA17" s="213">
        <v>46.242784182688155</v>
      </c>
      <c r="AB17" s="213">
        <v>40.389086386023017</v>
      </c>
      <c r="AC17" s="213">
        <v>32.370222908519501</v>
      </c>
    </row>
    <row r="18" spans="1:82" s="273" customFormat="1" x14ac:dyDescent="0.3">
      <c r="A18" s="84"/>
      <c r="B18" s="215" t="s">
        <v>247</v>
      </c>
      <c r="C18" s="215" t="s">
        <v>248</v>
      </c>
      <c r="D18" s="215" t="s">
        <v>86</v>
      </c>
      <c r="E18" s="216"/>
      <c r="F18" s="280">
        <v>0</v>
      </c>
      <c r="G18" s="280">
        <v>0</v>
      </c>
      <c r="H18" s="280">
        <v>0</v>
      </c>
      <c r="I18" s="280">
        <v>317.43150687000002</v>
      </c>
      <c r="J18" s="280">
        <v>655.47945211999991</v>
      </c>
      <c r="K18" s="280">
        <v>917.45926849315072</v>
      </c>
      <c r="L18" s="280">
        <v>859.61917808219175</v>
      </c>
      <c r="M18" s="280">
        <v>872.79181863013696</v>
      </c>
      <c r="N18" s="280">
        <v>861.37116383561647</v>
      </c>
      <c r="O18" s="280">
        <v>817.25223287671236</v>
      </c>
      <c r="P18" s="280">
        <v>830.73623587554891</v>
      </c>
      <c r="Q18" s="280">
        <v>785.874359887531</v>
      </c>
      <c r="R18" s="280">
        <v>666.52024787480218</v>
      </c>
      <c r="S18" s="280">
        <v>645.9219577878232</v>
      </c>
      <c r="T18" s="280">
        <v>557.43938627138232</v>
      </c>
      <c r="U18" s="280">
        <v>589.50266869602899</v>
      </c>
      <c r="V18" s="280">
        <v>539.02924341713799</v>
      </c>
      <c r="W18" s="280">
        <v>526.14939594498003</v>
      </c>
      <c r="X18" s="280">
        <v>480.84886337145031</v>
      </c>
      <c r="Y18" s="280">
        <v>469.10112588411687</v>
      </c>
      <c r="Z18" s="280">
        <v>442.74605808483375</v>
      </c>
      <c r="AA18" s="280">
        <v>404.26485143317092</v>
      </c>
      <c r="AB18" s="280">
        <v>394.01584203122218</v>
      </c>
      <c r="AC18" s="280">
        <v>359.52357404896827</v>
      </c>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row>
    <row r="19" spans="1:82" s="273" customFormat="1" x14ac:dyDescent="0.3">
      <c r="A19" s="84"/>
      <c r="B19" s="8" t="s">
        <v>250</v>
      </c>
      <c r="C19" s="8" t="s">
        <v>261</v>
      </c>
      <c r="D19" s="215" t="s">
        <v>89</v>
      </c>
      <c r="E19" s="216"/>
      <c r="F19" s="280">
        <v>0</v>
      </c>
      <c r="G19" s="280">
        <v>0</v>
      </c>
      <c r="H19" s="280">
        <v>0</v>
      </c>
      <c r="I19" s="280">
        <v>0</v>
      </c>
      <c r="J19" s="280">
        <v>0</v>
      </c>
      <c r="K19" s="280">
        <v>2742.2708626999997</v>
      </c>
      <c r="L19" s="280">
        <v>0</v>
      </c>
      <c r="M19" s="280">
        <v>0</v>
      </c>
      <c r="N19" s="280">
        <v>2543.07208575</v>
      </c>
      <c r="O19" s="280">
        <v>0</v>
      </c>
      <c r="P19" s="280">
        <v>0</v>
      </c>
      <c r="Q19" s="280">
        <v>2411.6472513200001</v>
      </c>
      <c r="R19" s="280">
        <v>0</v>
      </c>
      <c r="S19" s="280">
        <v>0</v>
      </c>
      <c r="T19" s="280">
        <v>2276.81033458</v>
      </c>
      <c r="U19" s="280">
        <v>0</v>
      </c>
      <c r="V19" s="280">
        <v>0</v>
      </c>
      <c r="W19" s="280">
        <v>2124.8371546500002</v>
      </c>
      <c r="X19" s="280">
        <v>0</v>
      </c>
      <c r="Y19" s="280">
        <v>0</v>
      </c>
      <c r="Z19" s="280">
        <v>0</v>
      </c>
      <c r="AA19" s="280">
        <v>0</v>
      </c>
      <c r="AB19" s="280">
        <v>0</v>
      </c>
      <c r="AC19" s="280">
        <v>0</v>
      </c>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row>
    <row r="20" spans="1:82" s="273" customFormat="1" x14ac:dyDescent="0.3">
      <c r="A20" s="84"/>
      <c r="B20" s="8" t="s">
        <v>251</v>
      </c>
      <c r="C20" s="8" t="s">
        <v>262</v>
      </c>
      <c r="D20" s="215" t="s">
        <v>89</v>
      </c>
      <c r="E20" s="216"/>
      <c r="F20" s="280">
        <v>0</v>
      </c>
      <c r="G20" s="280">
        <v>0</v>
      </c>
      <c r="H20" s="280">
        <v>0</v>
      </c>
      <c r="I20" s="280">
        <v>0</v>
      </c>
      <c r="J20" s="280">
        <v>0</v>
      </c>
      <c r="K20" s="280">
        <v>2027.3321643800002</v>
      </c>
      <c r="L20" s="280">
        <v>0</v>
      </c>
      <c r="M20" s="280">
        <v>0</v>
      </c>
      <c r="N20" s="280">
        <v>1883.3375452100001</v>
      </c>
      <c r="O20" s="280">
        <v>0</v>
      </c>
      <c r="P20" s="280">
        <v>0</v>
      </c>
      <c r="Q20" s="280">
        <v>1787.8451555199999</v>
      </c>
      <c r="R20" s="280">
        <v>0</v>
      </c>
      <c r="S20" s="280">
        <v>0</v>
      </c>
      <c r="T20" s="280">
        <v>1689.8862773199999</v>
      </c>
      <c r="U20" s="280">
        <v>0</v>
      </c>
      <c r="V20" s="280">
        <v>0</v>
      </c>
      <c r="W20" s="280">
        <v>1581.0084819900001</v>
      </c>
      <c r="X20" s="280">
        <v>0</v>
      </c>
      <c r="Y20" s="280">
        <v>0</v>
      </c>
      <c r="Z20" s="280">
        <v>1436.2797345899999</v>
      </c>
      <c r="AA20" s="280">
        <v>0</v>
      </c>
      <c r="AB20" s="280">
        <v>0</v>
      </c>
      <c r="AC20" s="280">
        <v>1294.07688648</v>
      </c>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row>
    <row r="21" spans="1:82" s="273" customFormat="1" ht="5.25" customHeight="1" x14ac:dyDescent="0.3">
      <c r="A21" s="84"/>
      <c r="B21" s="12"/>
      <c r="C21" s="12"/>
      <c r="D21" s="4"/>
      <c r="E21" s="216"/>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row>
    <row r="22" spans="1:82" ht="28.5" customHeight="1" x14ac:dyDescent="0.3">
      <c r="B22" s="307" t="s">
        <v>116</v>
      </c>
      <c r="C22" s="307"/>
      <c r="D22" s="307"/>
      <c r="E22" s="3"/>
      <c r="F22" s="182">
        <f>+SUM(F7:F20)</f>
        <v>370.18591572711591</v>
      </c>
      <c r="G22" s="182">
        <f t="shared" ref="G22:AC22" si="11">+SUM(G7:G20)</f>
        <v>347.98525700146166</v>
      </c>
      <c r="H22" s="182">
        <f t="shared" si="11"/>
        <v>839.00819531021602</v>
      </c>
      <c r="I22" s="182">
        <f t="shared" si="11"/>
        <v>562.35589451228043</v>
      </c>
      <c r="J22" s="182">
        <f t="shared" si="11"/>
        <v>948.88459751472283</v>
      </c>
      <c r="K22" s="182">
        <f t="shared" si="11"/>
        <v>6317.7008879046634</v>
      </c>
      <c r="L22" s="182">
        <f t="shared" si="11"/>
        <v>1066.7098632146781</v>
      </c>
      <c r="M22" s="182">
        <f t="shared" si="11"/>
        <v>1072.4099185147797</v>
      </c>
      <c r="N22" s="182">
        <f t="shared" si="11"/>
        <v>5773.9541844274427</v>
      </c>
      <c r="O22" s="182">
        <f t="shared" si="11"/>
        <v>988.12089081473596</v>
      </c>
      <c r="P22" s="182">
        <f t="shared" si="11"/>
        <v>995.45060514619308</v>
      </c>
      <c r="Q22" s="182">
        <f t="shared" si="11"/>
        <v>5392.6444082650542</v>
      </c>
      <c r="R22" s="182">
        <f t="shared" si="11"/>
        <v>812.41413781821529</v>
      </c>
      <c r="S22" s="182">
        <f t="shared" si="11"/>
        <v>781.09943792550166</v>
      </c>
      <c r="T22" s="182">
        <f t="shared" si="11"/>
        <v>4877.2956010615317</v>
      </c>
      <c r="U22" s="182">
        <f t="shared" si="11"/>
        <v>703.91492416812821</v>
      </c>
      <c r="V22" s="182">
        <f t="shared" si="11"/>
        <v>638.57540589273594</v>
      </c>
      <c r="W22" s="182">
        <f t="shared" si="11"/>
        <v>4524.8419321839656</v>
      </c>
      <c r="X22" s="182">
        <f t="shared" si="11"/>
        <v>561.43000781581611</v>
      </c>
      <c r="Y22" s="182">
        <f t="shared" si="11"/>
        <v>542.91220327405972</v>
      </c>
      <c r="Z22" s="182">
        <f t="shared" si="11"/>
        <v>2121.3825235153417</v>
      </c>
      <c r="AA22" s="182">
        <f t="shared" si="11"/>
        <v>459.7707389807548</v>
      </c>
      <c r="AB22" s="182">
        <f t="shared" si="11"/>
        <v>443.67692415067415</v>
      </c>
      <c r="AC22" s="182">
        <f t="shared" si="11"/>
        <v>1834.2088683843781</v>
      </c>
    </row>
    <row r="23" spans="1:82" ht="16.5" customHeight="1" x14ac:dyDescent="0.3">
      <c r="B23" s="308" t="s">
        <v>260</v>
      </c>
      <c r="C23" s="308"/>
      <c r="D23" s="308"/>
      <c r="F23" s="6"/>
      <c r="G23" s="6"/>
      <c r="H23" s="6"/>
      <c r="I23" s="6"/>
      <c r="J23" s="6"/>
      <c r="K23" s="6"/>
      <c r="L23" s="6"/>
      <c r="M23" s="6"/>
      <c r="N23" s="6"/>
      <c r="O23" s="6"/>
      <c r="P23" s="6"/>
      <c r="Q23" s="6"/>
      <c r="R23" s="6"/>
      <c r="S23" s="6"/>
      <c r="T23" s="6"/>
      <c r="U23" s="6"/>
      <c r="V23" s="6"/>
      <c r="W23" s="6"/>
      <c r="X23" s="6"/>
      <c r="Y23" s="6"/>
      <c r="Z23" s="6"/>
      <c r="AA23" s="6"/>
      <c r="AB23" s="6"/>
      <c r="AC23" s="6"/>
    </row>
    <row r="24" spans="1:82" x14ac:dyDescent="0.3">
      <c r="B24" s="308"/>
      <c r="C24" s="308"/>
      <c r="D24" s="308"/>
    </row>
    <row r="25" spans="1:82" x14ac:dyDescent="0.3">
      <c r="B25" s="71"/>
      <c r="C25" s="71"/>
      <c r="D25" s="71"/>
    </row>
    <row r="26" spans="1:82" x14ac:dyDescent="0.3">
      <c r="B26" s="71"/>
      <c r="C26" s="71"/>
      <c r="D26" s="71"/>
    </row>
    <row r="27" spans="1:82" x14ac:dyDescent="0.3">
      <c r="B27" s="71"/>
      <c r="C27" s="71"/>
      <c r="D27" s="71"/>
    </row>
    <row r="28" spans="1:82" x14ac:dyDescent="0.3">
      <c r="B28" s="71"/>
      <c r="C28" s="71"/>
      <c r="D28" s="71"/>
    </row>
    <row r="29" spans="1:82" ht="30.75" customHeight="1" x14ac:dyDescent="0.3">
      <c r="B29" s="306" t="s">
        <v>94</v>
      </c>
      <c r="C29" s="306"/>
      <c r="D29" s="306"/>
      <c r="F29" s="87"/>
      <c r="G29" s="87"/>
      <c r="H29" s="87"/>
      <c r="I29" s="87"/>
      <c r="J29" s="87"/>
      <c r="K29" s="87"/>
      <c r="L29" s="87"/>
      <c r="M29" s="87"/>
      <c r="N29" s="87"/>
      <c r="O29" s="87"/>
      <c r="P29" s="87"/>
      <c r="Q29" s="87"/>
      <c r="R29" s="87"/>
      <c r="S29" s="87"/>
      <c r="T29" s="87"/>
      <c r="U29" s="87"/>
      <c r="V29" s="87"/>
      <c r="W29" s="87"/>
      <c r="X29" s="87"/>
      <c r="Y29" s="87"/>
      <c r="Z29" s="87"/>
      <c r="AA29" s="87"/>
      <c r="AB29" s="87"/>
      <c r="AC29" s="87"/>
    </row>
    <row r="30" spans="1:82" x14ac:dyDescent="0.3">
      <c r="B30" s="309" t="s">
        <v>0</v>
      </c>
      <c r="C30" s="299" t="s">
        <v>1</v>
      </c>
      <c r="D30" s="299" t="s">
        <v>91</v>
      </c>
      <c r="F30" s="183">
        <v>2025</v>
      </c>
      <c r="G30" s="183">
        <v>2025</v>
      </c>
      <c r="H30" s="183">
        <v>2025</v>
      </c>
      <c r="I30" s="183">
        <v>2025</v>
      </c>
      <c r="J30" s="183">
        <v>2025</v>
      </c>
      <c r="K30" s="183">
        <v>2025</v>
      </c>
      <c r="L30" s="183">
        <v>2025</v>
      </c>
      <c r="M30" s="183">
        <v>2025</v>
      </c>
      <c r="N30" s="183">
        <v>2025</v>
      </c>
      <c r="O30" s="183">
        <v>2025</v>
      </c>
      <c r="P30" s="183">
        <v>2025</v>
      </c>
      <c r="Q30" s="183">
        <v>2025</v>
      </c>
      <c r="R30" s="183">
        <v>2026</v>
      </c>
      <c r="S30" s="183">
        <v>2026</v>
      </c>
      <c r="T30" s="183">
        <v>2026</v>
      </c>
      <c r="U30" s="183">
        <v>2026</v>
      </c>
      <c r="V30" s="183">
        <v>2026</v>
      </c>
      <c r="W30" s="183">
        <v>2026</v>
      </c>
      <c r="X30" s="183">
        <v>2026</v>
      </c>
      <c r="Y30" s="183">
        <v>2026</v>
      </c>
      <c r="Z30" s="183">
        <v>2026</v>
      </c>
      <c r="AA30" s="183">
        <v>2026</v>
      </c>
      <c r="AB30" s="183">
        <v>2026</v>
      </c>
      <c r="AC30" s="183">
        <v>2026</v>
      </c>
    </row>
    <row r="31" spans="1:82" x14ac:dyDescent="0.3">
      <c r="B31" s="310"/>
      <c r="C31" s="300"/>
      <c r="D31" s="300"/>
      <c r="F31" s="183">
        <v>1</v>
      </c>
      <c r="G31" s="183">
        <f t="shared" ref="G31:Q31" si="12">+F31+1</f>
        <v>2</v>
      </c>
      <c r="H31" s="183">
        <f t="shared" si="12"/>
        <v>3</v>
      </c>
      <c r="I31" s="183">
        <f t="shared" si="12"/>
        <v>4</v>
      </c>
      <c r="J31" s="183">
        <f t="shared" si="12"/>
        <v>5</v>
      </c>
      <c r="K31" s="183">
        <f t="shared" si="12"/>
        <v>6</v>
      </c>
      <c r="L31" s="183">
        <f t="shared" si="12"/>
        <v>7</v>
      </c>
      <c r="M31" s="183">
        <f t="shared" si="12"/>
        <v>8</v>
      </c>
      <c r="N31" s="183">
        <f t="shared" si="12"/>
        <v>9</v>
      </c>
      <c r="O31" s="183">
        <f t="shared" si="12"/>
        <v>10</v>
      </c>
      <c r="P31" s="183">
        <f t="shared" si="12"/>
        <v>11</v>
      </c>
      <c r="Q31" s="183">
        <f t="shared" si="12"/>
        <v>12</v>
      </c>
      <c r="R31" s="183">
        <v>1</v>
      </c>
      <c r="S31" s="183">
        <f>+R31+1</f>
        <v>2</v>
      </c>
      <c r="T31" s="183">
        <f t="shared" ref="T31" si="13">+S31+1</f>
        <v>3</v>
      </c>
      <c r="U31" s="183">
        <f t="shared" ref="U31" si="14">+T31+1</f>
        <v>4</v>
      </c>
      <c r="V31" s="183">
        <f t="shared" ref="V31" si="15">+U31+1</f>
        <v>5</v>
      </c>
      <c r="W31" s="183">
        <f t="shared" ref="W31" si="16">+V31+1</f>
        <v>6</v>
      </c>
      <c r="X31" s="183">
        <f t="shared" ref="X31" si="17">+W31+1</f>
        <v>7</v>
      </c>
      <c r="Y31" s="183">
        <f t="shared" ref="Y31" si="18">+X31+1</f>
        <v>8</v>
      </c>
      <c r="Z31" s="183">
        <f t="shared" ref="Z31" si="19">+Y31+1</f>
        <v>9</v>
      </c>
      <c r="AA31" s="183">
        <f t="shared" ref="AA31" si="20">+Z31+1</f>
        <v>10</v>
      </c>
      <c r="AB31" s="183">
        <f t="shared" ref="AB31" si="21">+AA31+1</f>
        <v>11</v>
      </c>
      <c r="AC31" s="183">
        <f t="shared" ref="AC31" si="22">+AB31+1</f>
        <v>12</v>
      </c>
    </row>
    <row r="32" spans="1:82" x14ac:dyDescent="0.3">
      <c r="A32" s="17" t="s">
        <v>38</v>
      </c>
      <c r="B32" s="151" t="s">
        <v>11</v>
      </c>
      <c r="C32" s="151" t="s">
        <v>12</v>
      </c>
      <c r="D32" s="151" t="s">
        <v>88</v>
      </c>
      <c r="E32" s="58"/>
      <c r="F32" s="213">
        <v>0</v>
      </c>
      <c r="G32" s="213">
        <v>0</v>
      </c>
      <c r="H32" s="213">
        <v>0</v>
      </c>
      <c r="I32" s="213">
        <v>0</v>
      </c>
      <c r="J32" s="213">
        <v>0</v>
      </c>
      <c r="K32" s="213">
        <v>1.283217567149906</v>
      </c>
      <c r="L32" s="213">
        <v>0</v>
      </c>
      <c r="M32" s="213">
        <v>0</v>
      </c>
      <c r="N32" s="213">
        <v>0</v>
      </c>
      <c r="O32" s="213">
        <v>0</v>
      </c>
      <c r="P32" s="213">
        <v>0</v>
      </c>
      <c r="Q32" s="213">
        <v>0.87919257836224629</v>
      </c>
      <c r="R32" s="213">
        <v>0</v>
      </c>
      <c r="S32" s="213">
        <v>0</v>
      </c>
      <c r="T32" s="213">
        <v>0</v>
      </c>
      <c r="U32" s="213">
        <v>0</v>
      </c>
      <c r="V32" s="213">
        <v>0</v>
      </c>
      <c r="W32" s="213">
        <v>0.79630557155501636</v>
      </c>
      <c r="X32" s="213">
        <v>0</v>
      </c>
      <c r="Y32" s="213">
        <v>0</v>
      </c>
      <c r="Z32" s="213">
        <v>0</v>
      </c>
      <c r="AA32" s="213">
        <v>0</v>
      </c>
      <c r="AB32" s="213">
        <v>0</v>
      </c>
      <c r="AC32" s="213">
        <v>0.72668248581561767</v>
      </c>
    </row>
    <row r="33" spans="1:29" x14ac:dyDescent="0.3">
      <c r="A33" s="17" t="s">
        <v>38</v>
      </c>
      <c r="B33" s="151" t="s">
        <v>17</v>
      </c>
      <c r="C33" s="151" t="s">
        <v>18</v>
      </c>
      <c r="D33" s="151" t="s">
        <v>88</v>
      </c>
      <c r="E33" s="58"/>
      <c r="F33" s="213">
        <v>0</v>
      </c>
      <c r="G33" s="213">
        <v>1.2077826299999999</v>
      </c>
      <c r="H33" s="213">
        <v>0</v>
      </c>
      <c r="I33" s="213">
        <v>0</v>
      </c>
      <c r="J33" s="213">
        <v>0</v>
      </c>
      <c r="K33" s="213">
        <v>0</v>
      </c>
      <c r="L33" s="213">
        <v>0</v>
      </c>
      <c r="M33" s="213">
        <v>1.2168530430604589</v>
      </c>
      <c r="N33" s="213">
        <v>0</v>
      </c>
      <c r="O33" s="213">
        <v>0</v>
      </c>
      <c r="P33" s="213">
        <v>0</v>
      </c>
      <c r="Q33" s="213">
        <v>0</v>
      </c>
      <c r="R33" s="213">
        <v>0</v>
      </c>
      <c r="S33" s="213">
        <v>0.97704426460104177</v>
      </c>
      <c r="T33" s="213">
        <v>0</v>
      </c>
      <c r="U33" s="213">
        <v>0</v>
      </c>
      <c r="V33" s="213">
        <v>0</v>
      </c>
      <c r="W33" s="213">
        <v>0</v>
      </c>
      <c r="X33" s="213">
        <v>0</v>
      </c>
      <c r="Y33" s="213">
        <v>0.88318488809543194</v>
      </c>
      <c r="Z33" s="213">
        <v>0</v>
      </c>
      <c r="AA33" s="213">
        <v>0</v>
      </c>
      <c r="AB33" s="213">
        <v>0</v>
      </c>
      <c r="AC33" s="213">
        <v>0</v>
      </c>
    </row>
    <row r="34" spans="1:29" x14ac:dyDescent="0.3">
      <c r="A34" s="17" t="s">
        <v>38</v>
      </c>
      <c r="B34" s="151" t="s">
        <v>13</v>
      </c>
      <c r="C34" s="151" t="s">
        <v>14</v>
      </c>
      <c r="D34" s="151" t="s">
        <v>88</v>
      </c>
      <c r="E34" s="58"/>
      <c r="F34" s="213">
        <v>0</v>
      </c>
      <c r="G34" s="213">
        <v>0</v>
      </c>
      <c r="H34" s="213">
        <v>0</v>
      </c>
      <c r="I34" s="213">
        <v>1.0659276200000001</v>
      </c>
      <c r="J34" s="213">
        <v>0</v>
      </c>
      <c r="K34" s="213">
        <v>0</v>
      </c>
      <c r="L34" s="213">
        <v>0</v>
      </c>
      <c r="M34" s="213">
        <v>0</v>
      </c>
      <c r="N34" s="213">
        <v>0</v>
      </c>
      <c r="O34" s="213">
        <v>0.73591751999999999</v>
      </c>
      <c r="P34" s="213">
        <v>0</v>
      </c>
      <c r="Q34" s="213">
        <v>0</v>
      </c>
      <c r="R34" s="213">
        <v>0</v>
      </c>
      <c r="S34" s="213">
        <v>0</v>
      </c>
      <c r="T34" s="213">
        <v>0</v>
      </c>
      <c r="U34" s="213">
        <v>0.65779898000000003</v>
      </c>
      <c r="V34" s="213">
        <v>0</v>
      </c>
      <c r="W34" s="213">
        <v>0</v>
      </c>
      <c r="X34" s="213">
        <v>0</v>
      </c>
      <c r="Y34" s="213">
        <v>0</v>
      </c>
      <c r="Z34" s="213">
        <v>0</v>
      </c>
      <c r="AA34" s="213">
        <v>0.59185012999999997</v>
      </c>
      <c r="AB34" s="213">
        <v>0</v>
      </c>
      <c r="AC34" s="213">
        <v>0</v>
      </c>
    </row>
    <row r="35" spans="1:29" x14ac:dyDescent="0.3">
      <c r="A35" s="17" t="s">
        <v>38</v>
      </c>
      <c r="B35" s="151" t="s">
        <v>15</v>
      </c>
      <c r="C35" s="151" t="s">
        <v>16</v>
      </c>
      <c r="D35" s="151" t="s">
        <v>88</v>
      </c>
      <c r="E35" s="58"/>
      <c r="F35" s="213">
        <v>0</v>
      </c>
      <c r="G35" s="213">
        <v>0.1476182</v>
      </c>
      <c r="H35" s="213">
        <v>0</v>
      </c>
      <c r="I35" s="213">
        <v>0</v>
      </c>
      <c r="J35" s="213">
        <v>0</v>
      </c>
      <c r="K35" s="213">
        <v>0</v>
      </c>
      <c r="L35" s="213">
        <v>0</v>
      </c>
      <c r="M35" s="213">
        <v>7.5332745975832907E-2</v>
      </c>
      <c r="N35" s="213">
        <v>0</v>
      </c>
      <c r="O35" s="213">
        <v>0</v>
      </c>
      <c r="P35" s="213">
        <v>0</v>
      </c>
      <c r="Q35" s="213">
        <v>0</v>
      </c>
      <c r="R35" s="213">
        <v>0</v>
      </c>
      <c r="S35" s="213">
        <v>0</v>
      </c>
      <c r="T35" s="213">
        <v>0</v>
      </c>
      <c r="U35" s="213">
        <v>0</v>
      </c>
      <c r="V35" s="213">
        <v>0</v>
      </c>
      <c r="W35" s="213">
        <v>0</v>
      </c>
      <c r="X35" s="213">
        <v>0</v>
      </c>
      <c r="Y35" s="213">
        <v>0</v>
      </c>
      <c r="Z35" s="213">
        <v>0</v>
      </c>
      <c r="AA35" s="213">
        <v>0</v>
      </c>
      <c r="AB35" s="213">
        <v>0</v>
      </c>
      <c r="AC35" s="213">
        <v>0</v>
      </c>
    </row>
    <row r="36" spans="1:29" x14ac:dyDescent="0.3">
      <c r="A36" s="17" t="s">
        <v>38</v>
      </c>
      <c r="B36" s="151" t="s">
        <v>21</v>
      </c>
      <c r="C36" s="151" t="s">
        <v>22</v>
      </c>
      <c r="D36" s="151" t="s">
        <v>88</v>
      </c>
      <c r="E36" s="58"/>
      <c r="F36" s="213">
        <v>0</v>
      </c>
      <c r="G36" s="213">
        <v>0</v>
      </c>
      <c r="H36" s="213">
        <v>0</v>
      </c>
      <c r="I36" s="213">
        <v>0.38300762999999999</v>
      </c>
      <c r="J36" s="213">
        <v>0</v>
      </c>
      <c r="K36" s="213">
        <v>0</v>
      </c>
      <c r="L36" s="213">
        <v>0</v>
      </c>
      <c r="M36" s="213">
        <v>0</v>
      </c>
      <c r="N36" s="213">
        <v>0</v>
      </c>
      <c r="O36" s="213">
        <v>0.35465495686749948</v>
      </c>
      <c r="P36" s="213">
        <v>0</v>
      </c>
      <c r="Q36" s="213">
        <v>0</v>
      </c>
      <c r="R36" s="213">
        <v>0</v>
      </c>
      <c r="S36" s="213">
        <v>0</v>
      </c>
      <c r="T36" s="213">
        <v>0</v>
      </c>
      <c r="U36" s="213">
        <v>0.32582376112756206</v>
      </c>
      <c r="V36" s="213">
        <v>0</v>
      </c>
      <c r="W36" s="213">
        <v>0</v>
      </c>
      <c r="X36" s="213">
        <v>0</v>
      </c>
      <c r="Y36" s="213">
        <v>0</v>
      </c>
      <c r="Z36" s="213">
        <v>0</v>
      </c>
      <c r="AA36" s="213">
        <v>0.30228072535496275</v>
      </c>
      <c r="AB36" s="213">
        <v>0</v>
      </c>
      <c r="AC36" s="213">
        <v>0</v>
      </c>
    </row>
    <row r="37" spans="1:29" x14ac:dyDescent="0.3">
      <c r="A37" s="17" t="s">
        <v>38</v>
      </c>
      <c r="B37" s="151" t="s">
        <v>19</v>
      </c>
      <c r="C37" s="151" t="s">
        <v>20</v>
      </c>
      <c r="D37" s="151" t="s">
        <v>88</v>
      </c>
      <c r="E37" s="58"/>
      <c r="F37" s="213">
        <v>0</v>
      </c>
      <c r="G37" s="213">
        <v>0</v>
      </c>
      <c r="H37" s="213">
        <v>0</v>
      </c>
      <c r="I37" s="213">
        <v>0</v>
      </c>
      <c r="J37" s="213">
        <v>6.729069E-2</v>
      </c>
      <c r="K37" s="213">
        <v>0</v>
      </c>
      <c r="L37" s="213">
        <v>0</v>
      </c>
      <c r="M37" s="213">
        <v>0</v>
      </c>
      <c r="N37" s="213">
        <v>0</v>
      </c>
      <c r="O37" s="213">
        <v>0</v>
      </c>
      <c r="P37" s="213">
        <v>9.4037854863596157E-2</v>
      </c>
      <c r="Q37" s="213">
        <v>0</v>
      </c>
      <c r="R37" s="213">
        <v>0</v>
      </c>
      <c r="S37" s="213">
        <v>0</v>
      </c>
      <c r="T37" s="213">
        <v>0</v>
      </c>
      <c r="U37" s="213">
        <v>0</v>
      </c>
      <c r="V37" s="213">
        <v>8.2782400796541061E-2</v>
      </c>
      <c r="W37" s="213">
        <v>0</v>
      </c>
      <c r="X37" s="213">
        <v>0</v>
      </c>
      <c r="Y37" s="213">
        <v>0</v>
      </c>
      <c r="Z37" s="213">
        <v>0</v>
      </c>
      <c r="AA37" s="213">
        <v>0</v>
      </c>
      <c r="AB37" s="213">
        <v>7.4905681509125507E-2</v>
      </c>
      <c r="AC37" s="213">
        <v>0</v>
      </c>
    </row>
    <row r="38" spans="1:29" x14ac:dyDescent="0.3">
      <c r="A38" s="17" t="s">
        <v>38</v>
      </c>
      <c r="B38" s="151" t="s">
        <v>121</v>
      </c>
      <c r="C38" s="151" t="s">
        <v>122</v>
      </c>
      <c r="D38" s="151" t="s">
        <v>88</v>
      </c>
      <c r="E38" s="58"/>
      <c r="F38" s="213">
        <v>0</v>
      </c>
      <c r="G38" s="213">
        <v>0</v>
      </c>
      <c r="H38" s="213">
        <v>0</v>
      </c>
      <c r="I38" s="213">
        <v>0</v>
      </c>
      <c r="J38" s="213">
        <v>1.3099783068493152</v>
      </c>
      <c r="K38" s="213">
        <v>0</v>
      </c>
      <c r="L38" s="213">
        <v>0</v>
      </c>
      <c r="M38" s="213">
        <v>0</v>
      </c>
      <c r="N38" s="213">
        <v>0</v>
      </c>
      <c r="O38" s="213">
        <v>0</v>
      </c>
      <c r="P38" s="213">
        <v>0.9131332699726028</v>
      </c>
      <c r="Q38" s="213">
        <v>0</v>
      </c>
      <c r="R38" s="213">
        <v>0</v>
      </c>
      <c r="S38" s="213">
        <v>0</v>
      </c>
      <c r="T38" s="213">
        <v>0</v>
      </c>
      <c r="U38" s="213">
        <v>0</v>
      </c>
      <c r="V38" s="213">
        <v>0.83312911873972584</v>
      </c>
      <c r="W38" s="213">
        <v>0</v>
      </c>
      <c r="X38" s="213">
        <v>0</v>
      </c>
      <c r="Y38" s="213">
        <v>0</v>
      </c>
      <c r="Z38" s="213">
        <v>0</v>
      </c>
      <c r="AA38" s="213">
        <v>0</v>
      </c>
      <c r="AB38" s="213">
        <v>0.78437434734246569</v>
      </c>
      <c r="AC38" s="213">
        <v>0</v>
      </c>
    </row>
    <row r="39" spans="1:29" x14ac:dyDescent="0.3">
      <c r="A39" s="17"/>
      <c r="B39" s="151" t="s">
        <v>138</v>
      </c>
      <c r="C39" s="151" t="s">
        <v>204</v>
      </c>
      <c r="D39" s="151" t="s">
        <v>88</v>
      </c>
      <c r="E39" s="58"/>
      <c r="F39" s="213">
        <v>0.13756038000000004</v>
      </c>
      <c r="G39" s="213">
        <v>0</v>
      </c>
      <c r="H39" s="213">
        <v>0</v>
      </c>
      <c r="I39" s="213">
        <v>0</v>
      </c>
      <c r="J39" s="213">
        <v>0</v>
      </c>
      <c r="K39" s="213">
        <v>0</v>
      </c>
      <c r="L39" s="213">
        <v>0.2480522009017623</v>
      </c>
      <c r="M39" s="213">
        <v>0</v>
      </c>
      <c r="N39" s="213">
        <v>0</v>
      </c>
      <c r="O39" s="213">
        <v>0</v>
      </c>
      <c r="P39" s="213">
        <v>0</v>
      </c>
      <c r="Q39" s="213">
        <v>0</v>
      </c>
      <c r="R39" s="213">
        <v>0.14972093253912222</v>
      </c>
      <c r="S39" s="213">
        <v>0</v>
      </c>
      <c r="T39" s="213">
        <v>0</v>
      </c>
      <c r="U39" s="213">
        <v>0</v>
      </c>
      <c r="V39" s="213">
        <v>0</v>
      </c>
      <c r="W39" s="213">
        <v>0</v>
      </c>
      <c r="X39" s="213">
        <v>0.13485289660408581</v>
      </c>
      <c r="Y39" s="213">
        <v>0</v>
      </c>
      <c r="Z39" s="213">
        <v>0</v>
      </c>
      <c r="AA39" s="213">
        <v>0</v>
      </c>
      <c r="AB39" s="213">
        <v>0</v>
      </c>
      <c r="AC39" s="213">
        <v>0</v>
      </c>
    </row>
    <row r="40" spans="1:29" x14ac:dyDescent="0.3">
      <c r="A40" s="17" t="s">
        <v>38</v>
      </c>
      <c r="B40" s="151" t="s">
        <v>23</v>
      </c>
      <c r="C40" s="151" t="s">
        <v>24</v>
      </c>
      <c r="D40" s="151" t="s">
        <v>88</v>
      </c>
      <c r="E40" s="58"/>
      <c r="F40" s="213">
        <v>0</v>
      </c>
      <c r="G40" s="213">
        <v>0</v>
      </c>
      <c r="H40" s="213">
        <v>0</v>
      </c>
      <c r="I40" s="213">
        <v>0</v>
      </c>
      <c r="J40" s="213">
        <v>0</v>
      </c>
      <c r="K40" s="213">
        <v>0</v>
      </c>
      <c r="L40" s="213">
        <v>0</v>
      </c>
      <c r="M40" s="213">
        <v>0</v>
      </c>
      <c r="N40" s="213">
        <v>0</v>
      </c>
      <c r="O40" s="213">
        <v>0</v>
      </c>
      <c r="P40" s="213">
        <v>0</v>
      </c>
      <c r="Q40" s="213">
        <v>0</v>
      </c>
      <c r="R40" s="213">
        <v>0</v>
      </c>
      <c r="S40" s="213">
        <v>0</v>
      </c>
      <c r="T40" s="213">
        <v>0</v>
      </c>
      <c r="U40" s="213">
        <v>0</v>
      </c>
      <c r="V40" s="213">
        <v>0</v>
      </c>
      <c r="W40" s="213">
        <v>0</v>
      </c>
      <c r="X40" s="213">
        <v>0</v>
      </c>
      <c r="Y40" s="213">
        <v>0</v>
      </c>
      <c r="Z40" s="213">
        <v>0</v>
      </c>
      <c r="AA40" s="213">
        <v>0</v>
      </c>
      <c r="AB40" s="213">
        <v>0</v>
      </c>
      <c r="AC40" s="213">
        <v>0</v>
      </c>
    </row>
    <row r="41" spans="1:29" x14ac:dyDescent="0.3">
      <c r="A41" s="17" t="s">
        <v>38</v>
      </c>
      <c r="B41" s="151" t="s">
        <v>25</v>
      </c>
      <c r="C41" s="151" t="s">
        <v>26</v>
      </c>
      <c r="D41" s="151" t="s">
        <v>88</v>
      </c>
      <c r="E41" s="58"/>
      <c r="F41" s="213">
        <v>0</v>
      </c>
      <c r="G41" s="213">
        <v>0</v>
      </c>
      <c r="H41" s="213">
        <v>9.0794906295270014E-4</v>
      </c>
      <c r="I41" s="213">
        <v>0</v>
      </c>
      <c r="J41" s="213">
        <v>0</v>
      </c>
      <c r="K41" s="213">
        <v>8.8762158507206393E-4</v>
      </c>
      <c r="L41" s="213">
        <v>0</v>
      </c>
      <c r="M41" s="213">
        <v>0</v>
      </c>
      <c r="N41" s="213">
        <v>8.6723363294473311E-4</v>
      </c>
      <c r="O41" s="213">
        <v>0</v>
      </c>
      <c r="P41" s="213">
        <v>0</v>
      </c>
      <c r="Q41" s="213">
        <v>8.4678502665982351E-4</v>
      </c>
      <c r="R41" s="213">
        <v>0</v>
      </c>
      <c r="S41" s="213">
        <v>0</v>
      </c>
      <c r="T41" s="213">
        <v>8.2627558577121518E-4</v>
      </c>
      <c r="U41" s="213">
        <v>0</v>
      </c>
      <c r="V41" s="213">
        <v>0</v>
      </c>
      <c r="W41" s="213">
        <v>8.0570512929596389E-4</v>
      </c>
      <c r="X41" s="213">
        <v>0</v>
      </c>
      <c r="Y41" s="213">
        <v>0</v>
      </c>
      <c r="Z41" s="213">
        <v>7.850734757126989E-4</v>
      </c>
      <c r="AA41" s="213">
        <v>0</v>
      </c>
      <c r="AB41" s="213">
        <v>0</v>
      </c>
      <c r="AC41" s="213">
        <v>7.6438044296002396E-4</v>
      </c>
    </row>
    <row r="42" spans="1:29" s="223" customFormat="1" x14ac:dyDescent="0.3">
      <c r="A42" s="221" t="s">
        <v>38</v>
      </c>
      <c r="B42" s="151" t="s">
        <v>27</v>
      </c>
      <c r="C42" s="151" t="s">
        <v>28</v>
      </c>
      <c r="D42" s="151" t="s">
        <v>88</v>
      </c>
      <c r="E42" s="222"/>
      <c r="F42" s="213">
        <v>0</v>
      </c>
      <c r="G42" s="213">
        <v>0</v>
      </c>
      <c r="H42" s="213">
        <v>0</v>
      </c>
      <c r="I42" s="213">
        <v>0</v>
      </c>
      <c r="J42" s="213">
        <v>0</v>
      </c>
      <c r="K42" s="213">
        <v>0</v>
      </c>
      <c r="L42" s="213">
        <v>0</v>
      </c>
      <c r="M42" s="213">
        <v>0</v>
      </c>
      <c r="N42" s="213">
        <v>0</v>
      </c>
      <c r="O42" s="213">
        <v>0</v>
      </c>
      <c r="P42" s="213">
        <v>0</v>
      </c>
      <c r="Q42" s="213">
        <v>0</v>
      </c>
      <c r="R42" s="213">
        <v>0</v>
      </c>
      <c r="S42" s="213">
        <v>0</v>
      </c>
      <c r="T42" s="213">
        <v>0</v>
      </c>
      <c r="U42" s="213">
        <v>0</v>
      </c>
      <c r="V42" s="213">
        <v>0</v>
      </c>
      <c r="W42" s="213">
        <v>0</v>
      </c>
      <c r="X42" s="213">
        <v>0</v>
      </c>
      <c r="Y42" s="213">
        <v>0</v>
      </c>
      <c r="Z42" s="213">
        <v>0</v>
      </c>
      <c r="AA42" s="213">
        <v>0</v>
      </c>
      <c r="AB42" s="213">
        <v>0</v>
      </c>
      <c r="AC42" s="213">
        <v>0</v>
      </c>
    </row>
    <row r="43" spans="1:29" x14ac:dyDescent="0.3">
      <c r="A43" s="17" t="s">
        <v>38</v>
      </c>
      <c r="B43" s="151" t="s">
        <v>30</v>
      </c>
      <c r="C43" s="151" t="s">
        <v>31</v>
      </c>
      <c r="D43" s="151" t="s">
        <v>88</v>
      </c>
      <c r="E43" s="58"/>
      <c r="F43" s="213">
        <v>0</v>
      </c>
      <c r="G43" s="213">
        <v>0</v>
      </c>
      <c r="H43" s="213">
        <v>0.44684658051774756</v>
      </c>
      <c r="I43" s="213">
        <v>0</v>
      </c>
      <c r="J43" s="213">
        <v>0</v>
      </c>
      <c r="K43" s="213">
        <v>0</v>
      </c>
      <c r="L43" s="213">
        <v>0</v>
      </c>
      <c r="M43" s="213">
        <v>0</v>
      </c>
      <c r="N43" s="213">
        <v>0.74476572440837352</v>
      </c>
      <c r="O43" s="213">
        <v>0</v>
      </c>
      <c r="P43" s="213">
        <v>0</v>
      </c>
      <c r="Q43" s="213">
        <v>0</v>
      </c>
      <c r="R43" s="213">
        <v>0</v>
      </c>
      <c r="S43" s="213">
        <v>0</v>
      </c>
      <c r="T43" s="213">
        <v>0.67504961239879457</v>
      </c>
      <c r="U43" s="213">
        <v>0</v>
      </c>
      <c r="V43" s="213">
        <v>0</v>
      </c>
      <c r="W43" s="213">
        <v>0</v>
      </c>
      <c r="X43" s="213">
        <v>0</v>
      </c>
      <c r="Y43" s="213">
        <v>0</v>
      </c>
      <c r="Z43" s="213">
        <v>0.63100693971021748</v>
      </c>
      <c r="AA43" s="213">
        <v>0</v>
      </c>
      <c r="AB43" s="213">
        <v>0</v>
      </c>
      <c r="AC43" s="213">
        <v>0</v>
      </c>
    </row>
    <row r="44" spans="1:29" x14ac:dyDescent="0.3">
      <c r="A44" s="17"/>
      <c r="B44" s="151" t="s">
        <v>139</v>
      </c>
      <c r="C44" s="151" t="s">
        <v>140</v>
      </c>
      <c r="D44" s="151" t="s">
        <v>88</v>
      </c>
      <c r="E44" s="58"/>
      <c r="F44" s="213">
        <v>6.7422179999999998E-2</v>
      </c>
      <c r="G44" s="213">
        <v>0</v>
      </c>
      <c r="H44" s="213">
        <v>0</v>
      </c>
      <c r="I44" s="213">
        <v>0</v>
      </c>
      <c r="J44" s="213">
        <v>0</v>
      </c>
      <c r="K44" s="213">
        <v>0</v>
      </c>
      <c r="L44" s="213">
        <v>0.11156152</v>
      </c>
      <c r="M44" s="213">
        <v>0</v>
      </c>
      <c r="N44" s="213">
        <v>0</v>
      </c>
      <c r="O44" s="213">
        <v>0</v>
      </c>
      <c r="P44" s="213">
        <v>0</v>
      </c>
      <c r="Q44" s="213">
        <v>0</v>
      </c>
      <c r="R44" s="213">
        <v>6.7337009999999989E-2</v>
      </c>
      <c r="S44" s="213">
        <v>0</v>
      </c>
      <c r="T44" s="213">
        <v>0</v>
      </c>
      <c r="U44" s="213">
        <v>0</v>
      </c>
      <c r="V44" s="213">
        <v>0</v>
      </c>
      <c r="W44" s="213">
        <v>0</v>
      </c>
      <c r="X44" s="213">
        <v>6.1996019999999999E-2</v>
      </c>
      <c r="Y44" s="213">
        <v>0</v>
      </c>
      <c r="Z44" s="213">
        <v>0</v>
      </c>
      <c r="AA44" s="213">
        <v>0</v>
      </c>
      <c r="AB44" s="213">
        <v>0</v>
      </c>
      <c r="AC44" s="213">
        <v>0</v>
      </c>
    </row>
    <row r="45" spans="1:29" x14ac:dyDescent="0.3">
      <c r="A45" s="17"/>
      <c r="B45" s="8" t="s">
        <v>160</v>
      </c>
      <c r="C45" s="8" t="s">
        <v>161</v>
      </c>
      <c r="D45" s="8" t="s">
        <v>88</v>
      </c>
      <c r="E45" s="216"/>
      <c r="F45" s="213">
        <v>0</v>
      </c>
      <c r="G45" s="213">
        <v>0</v>
      </c>
      <c r="H45" s="213">
        <v>0</v>
      </c>
      <c r="I45" s="213">
        <v>0</v>
      </c>
      <c r="J45" s="213">
        <v>0.16873068353530579</v>
      </c>
      <c r="K45" s="213">
        <v>0</v>
      </c>
      <c r="L45" s="213">
        <v>0</v>
      </c>
      <c r="M45" s="213">
        <v>0</v>
      </c>
      <c r="N45" s="213">
        <v>0</v>
      </c>
      <c r="O45" s="213">
        <v>0</v>
      </c>
      <c r="P45" s="213">
        <v>0.15059574967662012</v>
      </c>
      <c r="Q45" s="213">
        <v>0</v>
      </c>
      <c r="R45" s="213">
        <v>0</v>
      </c>
      <c r="S45" s="213">
        <v>0</v>
      </c>
      <c r="T45" s="213">
        <v>0</v>
      </c>
      <c r="U45" s="213">
        <v>0</v>
      </c>
      <c r="V45" s="213">
        <v>0.13016904041036298</v>
      </c>
      <c r="W45" s="213">
        <v>0</v>
      </c>
      <c r="X45" s="213">
        <v>0</v>
      </c>
      <c r="Y45" s="213">
        <v>0</v>
      </c>
      <c r="Z45" s="213">
        <v>0</v>
      </c>
      <c r="AA45" s="213">
        <v>0</v>
      </c>
      <c r="AB45" s="213">
        <v>0.12070816003492825</v>
      </c>
      <c r="AC45" s="213">
        <v>0</v>
      </c>
    </row>
    <row r="46" spans="1:29" x14ac:dyDescent="0.3">
      <c r="A46" s="17" t="s">
        <v>38</v>
      </c>
      <c r="B46" s="151" t="s">
        <v>120</v>
      </c>
      <c r="C46" s="151" t="s">
        <v>119</v>
      </c>
      <c r="D46" s="151" t="s">
        <v>89</v>
      </c>
      <c r="E46" s="58"/>
      <c r="F46" s="213">
        <v>0</v>
      </c>
      <c r="G46" s="213">
        <v>0</v>
      </c>
      <c r="H46" s="213">
        <v>10.31061029</v>
      </c>
      <c r="I46" s="213">
        <v>0</v>
      </c>
      <c r="J46" s="213">
        <v>0</v>
      </c>
      <c r="K46" s="213">
        <v>0</v>
      </c>
      <c r="L46" s="213">
        <v>0</v>
      </c>
      <c r="M46" s="213">
        <v>0</v>
      </c>
      <c r="N46" s="213">
        <v>9.1649869230769276</v>
      </c>
      <c r="O46" s="213">
        <v>0</v>
      </c>
      <c r="P46" s="213">
        <v>0</v>
      </c>
      <c r="Q46" s="213">
        <v>0</v>
      </c>
      <c r="R46" s="213">
        <v>0</v>
      </c>
      <c r="S46" s="213">
        <v>0</v>
      </c>
      <c r="T46" s="213">
        <v>8.0193635576923121</v>
      </c>
      <c r="U46" s="213">
        <v>0</v>
      </c>
      <c r="V46" s="213">
        <v>0</v>
      </c>
      <c r="W46" s="213">
        <v>0</v>
      </c>
      <c r="X46" s="213">
        <v>0</v>
      </c>
      <c r="Y46" s="213">
        <v>0</v>
      </c>
      <c r="Z46" s="213">
        <v>6.8737401923076957</v>
      </c>
      <c r="AA46" s="213">
        <v>0</v>
      </c>
      <c r="AB46" s="213">
        <v>0</v>
      </c>
      <c r="AC46" s="213">
        <v>0</v>
      </c>
    </row>
    <row r="47" spans="1:29" customFormat="1" ht="6.75" customHeight="1" x14ac:dyDescent="0.3">
      <c r="B47" s="14"/>
      <c r="C47" s="12"/>
      <c r="D47" s="12"/>
      <c r="E47" s="15"/>
    </row>
    <row r="48" spans="1:29" ht="28.5" customHeight="1" x14ac:dyDescent="0.3">
      <c r="B48" s="307" t="s">
        <v>117</v>
      </c>
      <c r="C48" s="307"/>
      <c r="D48" s="307"/>
      <c r="E48" s="3"/>
      <c r="F48" s="182">
        <f>+SUM(F32:F46)</f>
        <v>0.20498256000000004</v>
      </c>
      <c r="G48" s="182">
        <f t="shared" ref="G48:Q48" si="23">+SUM(G32:G46)</f>
        <v>1.3554008299999998</v>
      </c>
      <c r="H48" s="182">
        <f t="shared" si="23"/>
        <v>10.7583648195807</v>
      </c>
      <c r="I48" s="182">
        <f t="shared" si="23"/>
        <v>1.4489352500000001</v>
      </c>
      <c r="J48" s="182">
        <f t="shared" si="23"/>
        <v>1.545999680384621</v>
      </c>
      <c r="K48" s="182">
        <f t="shared" si="23"/>
        <v>1.2841051887349781</v>
      </c>
      <c r="L48" s="182">
        <f t="shared" si="23"/>
        <v>0.3596137209017623</v>
      </c>
      <c r="M48" s="182">
        <f t="shared" si="23"/>
        <v>1.2921857890362918</v>
      </c>
      <c r="N48" s="182">
        <f t="shared" si="23"/>
        <v>9.9106198811182455</v>
      </c>
      <c r="O48" s="182">
        <f t="shared" si="23"/>
        <v>1.0905724768674996</v>
      </c>
      <c r="P48" s="182">
        <f t="shared" si="23"/>
        <v>1.1577668745128191</v>
      </c>
      <c r="Q48" s="182">
        <f t="shared" si="23"/>
        <v>0.88003936338890609</v>
      </c>
      <c r="R48" s="182">
        <f>+SUM(R32:R46)</f>
        <v>0.2170579425391222</v>
      </c>
      <c r="S48" s="182">
        <f t="shared" ref="S48:AC48" si="24">+SUM(S32:S46)</f>
        <v>0.97704426460104177</v>
      </c>
      <c r="T48" s="182">
        <f t="shared" si="24"/>
        <v>8.6952394456768776</v>
      </c>
      <c r="U48" s="182">
        <f t="shared" si="24"/>
        <v>0.98362274112756209</v>
      </c>
      <c r="V48" s="182">
        <f t="shared" si="24"/>
        <v>1.0460805599466299</v>
      </c>
      <c r="W48" s="182">
        <f t="shared" si="24"/>
        <v>0.79711127668431236</v>
      </c>
      <c r="X48" s="182">
        <f t="shared" si="24"/>
        <v>0.19684891660408582</v>
      </c>
      <c r="Y48" s="182">
        <f t="shared" si="24"/>
        <v>0.88318488809543194</v>
      </c>
      <c r="Z48" s="182">
        <f t="shared" si="24"/>
        <v>7.5055322054936262</v>
      </c>
      <c r="AA48" s="182">
        <f t="shared" si="24"/>
        <v>0.89413085535496273</v>
      </c>
      <c r="AB48" s="182">
        <f t="shared" si="24"/>
        <v>0.9799881888865194</v>
      </c>
      <c r="AC48" s="182">
        <f t="shared" si="24"/>
        <v>0.72744686625857768</v>
      </c>
    </row>
    <row r="49" spans="2:29" x14ac:dyDescent="0.3">
      <c r="B49" s="4"/>
      <c r="C49" s="4"/>
      <c r="D49" s="4"/>
      <c r="F49" s="13"/>
      <c r="G49" s="13"/>
      <c r="H49" s="13"/>
      <c r="I49" s="13"/>
      <c r="J49" s="13"/>
      <c r="K49" s="13"/>
      <c r="L49" s="13"/>
      <c r="M49" s="13"/>
      <c r="N49" s="13"/>
      <c r="O49" s="13"/>
      <c r="P49" s="13"/>
      <c r="Q49" s="13"/>
      <c r="R49" s="13"/>
      <c r="S49" s="13"/>
      <c r="T49" s="13"/>
      <c r="U49" s="13"/>
      <c r="V49" s="13"/>
      <c r="W49" s="13"/>
      <c r="X49" s="13"/>
      <c r="Y49" s="13"/>
      <c r="Z49" s="13"/>
      <c r="AA49" s="13"/>
      <c r="AB49" s="13"/>
      <c r="AC49" s="13"/>
    </row>
    <row r="50" spans="2:29" x14ac:dyDescent="0.3">
      <c r="B50" s="4"/>
      <c r="C50" s="4"/>
      <c r="D50" s="4"/>
      <c r="F50" s="13"/>
      <c r="G50" s="13"/>
      <c r="I50" s="13"/>
      <c r="J50" s="13"/>
      <c r="L50" s="13"/>
      <c r="M50" s="13"/>
      <c r="O50" s="13"/>
      <c r="P50" s="13"/>
      <c r="R50" s="13"/>
      <c r="S50" s="13"/>
      <c r="U50" s="13"/>
      <c r="V50" s="13"/>
      <c r="X50" s="13"/>
      <c r="Y50" s="13"/>
      <c r="AA50" s="13"/>
      <c r="AB50" s="13"/>
    </row>
    <row r="51" spans="2:29" x14ac:dyDescent="0.3">
      <c r="B51" s="4"/>
      <c r="C51" s="4"/>
      <c r="D51" s="4"/>
      <c r="F51" s="13"/>
      <c r="G51" s="13"/>
      <c r="I51" s="13"/>
      <c r="J51" s="13"/>
      <c r="L51" s="13"/>
      <c r="M51" s="13"/>
      <c r="O51" s="13"/>
      <c r="P51" s="13"/>
      <c r="Q51" s="13"/>
      <c r="R51" s="13"/>
      <c r="S51" s="13"/>
      <c r="U51" s="13"/>
      <c r="V51" s="13"/>
      <c r="X51" s="13"/>
      <c r="Y51" s="13"/>
      <c r="AA51" s="13"/>
      <c r="AB51" s="13"/>
      <c r="AC51" s="13"/>
    </row>
  </sheetData>
  <mergeCells count="12">
    <mergeCell ref="B1:E1"/>
    <mergeCell ref="B5:B6"/>
    <mergeCell ref="C5:C6"/>
    <mergeCell ref="B4:D4"/>
    <mergeCell ref="D5:D6"/>
    <mergeCell ref="D30:D31"/>
    <mergeCell ref="B29:D29"/>
    <mergeCell ref="B22:D22"/>
    <mergeCell ref="B48:D48"/>
    <mergeCell ref="B23:D24"/>
    <mergeCell ref="B30:B31"/>
    <mergeCell ref="C30:C31"/>
  </mergeCells>
  <hyperlinks>
    <hyperlink ref="C33" location="BIDF40!A1" display="BIDF40" xr:uid="{00000000-0004-0000-0100-000000000000}"/>
    <hyperlink ref="C40" location="BIDO24!A1" display="BIDO24" xr:uid="{00000000-0004-0000-0100-000001000000}"/>
    <hyperlink ref="C37" location="BIDN32!A1" display="BIDN32" xr:uid="{00000000-0004-0000-0100-000002000000}"/>
    <hyperlink ref="C41" location="BIDS34!A1" display="BIDS34" xr:uid="{00000000-0004-0000-0100-000003000000}"/>
    <hyperlink ref="C42" location="BIDS23!A1" display="BIDS23" xr:uid="{00000000-0004-0000-0100-000004000000}"/>
    <hyperlink ref="C36" location="BIDY42!A1" display="BIDY42" xr:uid="{00000000-0004-0000-0100-000005000000}"/>
    <hyperlink ref="C43" location="BIRS38!A1" display="BIRS38" xr:uid="{00000000-0004-0000-0100-000006000000}"/>
    <hyperlink ref="C7" location="FFDPO23!A1" display="FFDPO23" xr:uid="{00000000-0004-0000-0100-000007000000}"/>
    <hyperlink ref="C9" location="IPVO26!A1" display="IPVO26" xr:uid="{00000000-0004-0000-0100-000008000000}"/>
    <hyperlink ref="C15" location="'PMG25'!A1" display="PMG25" xr:uid="{00000000-0004-0000-0100-000009000000}"/>
    <hyperlink ref="C16" location="FFFIRO24!A1" display="FFFIRO24" xr:uid="{00000000-0004-0000-0100-00000A000000}"/>
    <hyperlink ref="C17" location="FFFIRF26!A1" display="FFFIRF26" xr:uid="{00000000-0004-0000-0100-00000B000000}"/>
    <hyperlink ref="C8" location="GOBD23!A1" display="GOBD23" xr:uid="{00000000-0004-0000-0100-00000C000000}"/>
    <hyperlink ref="C20" location="'TAMAR 2'!A1" display="'TAMAR 2'!A1" xr:uid="{00000000-0004-0000-0100-00000D000000}"/>
    <hyperlink ref="C19" location="'TAMAR 1'!A1" display="TAMAR 1" xr:uid="{00000000-0004-0000-0100-00000E000000}"/>
  </hyperlink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2"/>
  <sheetViews>
    <sheetView showGridLines="0" zoomScale="90" zoomScaleNormal="90" workbookViewId="0">
      <pane xSplit="3" ySplit="6" topLeftCell="D7" activePane="bottomRight" state="frozen"/>
      <selection activeCell="F1" sqref="F1:F1048576"/>
      <selection pane="topRight" activeCell="F1" sqref="F1:F1048576"/>
      <selection pane="bottomLeft" activeCell="F1" sqref="F1:F1048576"/>
      <selection pane="bottomRight"/>
    </sheetView>
  </sheetViews>
  <sheetFormatPr baseColWidth="10" defaultRowHeight="16.5" x14ac:dyDescent="0.3"/>
  <cols>
    <col min="1" max="1" width="5.28515625" style="16" customWidth="1"/>
    <col min="2" max="2" width="43.7109375" style="2" bestFit="1" customWidth="1"/>
    <col min="3" max="3" width="12.5703125" style="2" customWidth="1"/>
    <col min="4" max="4" width="30.85546875" style="2" bestFit="1" customWidth="1"/>
    <col min="5" max="5" width="13.7109375" style="113" customWidth="1"/>
    <col min="6" max="9" width="11.42578125" style="113"/>
    <col min="10" max="17" width="11.42578125" style="1"/>
    <col min="18" max="21" width="11.42578125" style="113"/>
    <col min="22" max="16384" width="11.42578125" style="1"/>
  </cols>
  <sheetData>
    <row r="1" spans="1:29" ht="28.5" customHeight="1" x14ac:dyDescent="0.3">
      <c r="A1" s="112"/>
      <c r="B1" s="316" t="s">
        <v>36</v>
      </c>
      <c r="C1" s="316"/>
      <c r="D1" s="316"/>
      <c r="E1" s="316"/>
    </row>
    <row r="2" spans="1:29" x14ac:dyDescent="0.3">
      <c r="B2" s="179" t="s">
        <v>44</v>
      </c>
    </row>
    <row r="4" spans="1:29" ht="30.75" customHeight="1" x14ac:dyDescent="0.3">
      <c r="B4" s="315" t="s">
        <v>126</v>
      </c>
      <c r="C4" s="315"/>
      <c r="D4" s="315"/>
      <c r="F4" s="114"/>
      <c r="G4" s="114"/>
      <c r="H4" s="114"/>
      <c r="I4" s="114"/>
      <c r="J4" s="114"/>
      <c r="K4" s="114"/>
      <c r="L4" s="114"/>
      <c r="M4" s="114"/>
      <c r="N4" s="114"/>
      <c r="O4" s="114"/>
      <c r="P4" s="114"/>
      <c r="Q4" s="114"/>
      <c r="R4" s="114"/>
      <c r="S4" s="114"/>
      <c r="T4" s="114"/>
      <c r="U4" s="114"/>
      <c r="V4" s="114"/>
      <c r="W4" s="114"/>
      <c r="X4" s="114"/>
      <c r="Y4" s="114"/>
      <c r="Z4" s="114"/>
      <c r="AA4" s="114"/>
      <c r="AB4" s="114"/>
      <c r="AC4" s="114"/>
    </row>
    <row r="5" spans="1:29" ht="15.75" customHeight="1" x14ac:dyDescent="0.3">
      <c r="B5" s="311" t="s">
        <v>0</v>
      </c>
      <c r="C5" s="313" t="s">
        <v>1</v>
      </c>
      <c r="D5" s="299" t="s">
        <v>91</v>
      </c>
      <c r="E5" s="1"/>
      <c r="F5" s="183">
        <v>2025</v>
      </c>
      <c r="G5" s="183">
        <v>2025</v>
      </c>
      <c r="H5" s="183">
        <v>2025</v>
      </c>
      <c r="I5" s="183">
        <v>2025</v>
      </c>
      <c r="J5" s="183">
        <v>2025</v>
      </c>
      <c r="K5" s="183">
        <v>2025</v>
      </c>
      <c r="L5" s="183">
        <v>2025</v>
      </c>
      <c r="M5" s="183">
        <v>2025</v>
      </c>
      <c r="N5" s="183">
        <v>2025</v>
      </c>
      <c r="O5" s="183">
        <v>2025</v>
      </c>
      <c r="P5" s="183">
        <v>2025</v>
      </c>
      <c r="Q5" s="183">
        <v>2025</v>
      </c>
      <c r="R5" s="183">
        <v>2026</v>
      </c>
      <c r="S5" s="183">
        <v>2026</v>
      </c>
      <c r="T5" s="183">
        <v>2026</v>
      </c>
      <c r="U5" s="183">
        <v>2026</v>
      </c>
      <c r="V5" s="183">
        <v>2026</v>
      </c>
      <c r="W5" s="183">
        <v>2026</v>
      </c>
      <c r="X5" s="183">
        <v>2026</v>
      </c>
      <c r="Y5" s="183">
        <v>2026</v>
      </c>
      <c r="Z5" s="183">
        <v>2026</v>
      </c>
      <c r="AA5" s="183">
        <v>2026</v>
      </c>
      <c r="AB5" s="183">
        <v>2026</v>
      </c>
      <c r="AC5" s="183">
        <v>2026</v>
      </c>
    </row>
    <row r="6" spans="1:29" x14ac:dyDescent="0.3">
      <c r="B6" s="312"/>
      <c r="C6" s="314"/>
      <c r="D6" s="300"/>
      <c r="E6" s="1"/>
      <c r="F6" s="183">
        <v>1</v>
      </c>
      <c r="G6" s="183">
        <f t="shared" ref="G6" si="0">+F6+1</f>
        <v>2</v>
      </c>
      <c r="H6" s="183">
        <f t="shared" ref="H6" si="1">+G6+1</f>
        <v>3</v>
      </c>
      <c r="I6" s="183">
        <f t="shared" ref="I6" si="2">+H6+1</f>
        <v>4</v>
      </c>
      <c r="J6" s="183">
        <f t="shared" ref="J6" si="3">+I6+1</f>
        <v>5</v>
      </c>
      <c r="K6" s="183">
        <f t="shared" ref="K6" si="4">+J6+1</f>
        <v>6</v>
      </c>
      <c r="L6" s="183">
        <f t="shared" ref="L6" si="5">+K6+1</f>
        <v>7</v>
      </c>
      <c r="M6" s="183">
        <f t="shared" ref="M6" si="6">+L6+1</f>
        <v>8</v>
      </c>
      <c r="N6" s="183">
        <f t="shared" ref="N6" si="7">+M6+1</f>
        <v>9</v>
      </c>
      <c r="O6" s="183">
        <f t="shared" ref="O6" si="8">+N6+1</f>
        <v>10</v>
      </c>
      <c r="P6" s="183">
        <f t="shared" ref="P6" si="9">+O6+1</f>
        <v>11</v>
      </c>
      <c r="Q6" s="183">
        <f t="shared" ref="Q6" si="10">+P6+1</f>
        <v>12</v>
      </c>
      <c r="R6" s="183">
        <v>1</v>
      </c>
      <c r="S6" s="183">
        <f>+R6+1</f>
        <v>2</v>
      </c>
      <c r="T6" s="183">
        <f t="shared" ref="T6:AC6" si="11">+S6+1</f>
        <v>3</v>
      </c>
      <c r="U6" s="183">
        <f t="shared" si="11"/>
        <v>4</v>
      </c>
      <c r="V6" s="183">
        <f t="shared" si="11"/>
        <v>5</v>
      </c>
      <c r="W6" s="183">
        <f t="shared" si="11"/>
        <v>6</v>
      </c>
      <c r="X6" s="183">
        <f t="shared" si="11"/>
        <v>7</v>
      </c>
      <c r="Y6" s="183">
        <f t="shared" si="11"/>
        <v>8</v>
      </c>
      <c r="Z6" s="183">
        <f t="shared" si="11"/>
        <v>9</v>
      </c>
      <c r="AA6" s="183">
        <f t="shared" si="11"/>
        <v>10</v>
      </c>
      <c r="AB6" s="183">
        <f t="shared" si="11"/>
        <v>11</v>
      </c>
      <c r="AC6" s="183">
        <f t="shared" si="11"/>
        <v>12</v>
      </c>
    </row>
    <row r="7" spans="1:29" x14ac:dyDescent="0.3">
      <c r="A7" s="84"/>
      <c r="B7" s="201" t="s">
        <v>5</v>
      </c>
      <c r="C7" s="201" t="s">
        <v>6</v>
      </c>
      <c r="D7" s="201" t="s">
        <v>85</v>
      </c>
      <c r="F7" s="213">
        <v>5.83294493</v>
      </c>
      <c r="G7" s="213">
        <v>0</v>
      </c>
      <c r="H7" s="213">
        <v>0</v>
      </c>
      <c r="I7" s="213">
        <v>6.0230032400000004</v>
      </c>
      <c r="J7" s="213">
        <v>0</v>
      </c>
      <c r="K7" s="213">
        <v>0</v>
      </c>
      <c r="L7" s="213">
        <v>6.0949683800000001</v>
      </c>
      <c r="M7" s="213">
        <v>0</v>
      </c>
      <c r="N7" s="213">
        <v>0</v>
      </c>
      <c r="O7" s="213">
        <v>6.2482901200000001</v>
      </c>
      <c r="P7" s="213">
        <v>0</v>
      </c>
      <c r="Q7" s="213">
        <v>0</v>
      </c>
      <c r="R7" s="213">
        <v>6.5570982799999991</v>
      </c>
      <c r="S7" s="213">
        <v>0</v>
      </c>
      <c r="T7" s="213">
        <v>0</v>
      </c>
      <c r="U7" s="213">
        <v>4.1709358100000005</v>
      </c>
      <c r="V7" s="213">
        <v>0</v>
      </c>
      <c r="W7" s="213">
        <v>0</v>
      </c>
      <c r="X7" s="213">
        <v>4.2754224499999998</v>
      </c>
      <c r="Y7" s="213">
        <v>0</v>
      </c>
      <c r="Z7" s="213">
        <v>0</v>
      </c>
      <c r="AA7" s="213">
        <v>4.3927216900000001</v>
      </c>
      <c r="AB7" s="213">
        <v>0</v>
      </c>
      <c r="AC7" s="213">
        <v>0</v>
      </c>
    </row>
    <row r="8" spans="1:29" ht="15" customHeight="1" x14ac:dyDescent="0.3">
      <c r="A8" s="84"/>
      <c r="B8" s="201" t="s">
        <v>163</v>
      </c>
      <c r="C8" s="201" t="s">
        <v>158</v>
      </c>
      <c r="D8" s="201" t="s">
        <v>89</v>
      </c>
      <c r="F8" s="213">
        <v>0</v>
      </c>
      <c r="G8" s="213">
        <v>0</v>
      </c>
      <c r="H8" s="213">
        <v>1008.75</v>
      </c>
      <c r="I8" s="213">
        <v>0</v>
      </c>
      <c r="J8" s="213">
        <v>0</v>
      </c>
      <c r="K8" s="213">
        <v>1008.75</v>
      </c>
      <c r="L8" s="213">
        <v>0</v>
      </c>
      <c r="M8" s="213">
        <v>0</v>
      </c>
      <c r="N8" s="213">
        <v>0</v>
      </c>
      <c r="O8" s="213">
        <v>0</v>
      </c>
      <c r="P8" s="213">
        <v>0</v>
      </c>
      <c r="Q8" s="213">
        <v>0</v>
      </c>
      <c r="R8" s="213">
        <v>0</v>
      </c>
      <c r="S8" s="213">
        <v>0</v>
      </c>
      <c r="T8" s="213">
        <v>0</v>
      </c>
      <c r="U8" s="213">
        <v>0</v>
      </c>
      <c r="V8" s="213">
        <v>0</v>
      </c>
      <c r="W8" s="213">
        <v>0</v>
      </c>
      <c r="X8" s="213">
        <v>0</v>
      </c>
      <c r="Y8" s="213">
        <v>0</v>
      </c>
      <c r="Z8" s="213">
        <v>0</v>
      </c>
      <c r="AA8" s="213">
        <v>0</v>
      </c>
      <c r="AB8" s="213">
        <v>0</v>
      </c>
      <c r="AC8" s="213">
        <v>0</v>
      </c>
    </row>
    <row r="9" spans="1:29" x14ac:dyDescent="0.3">
      <c r="A9" s="84"/>
      <c r="B9" s="201" t="s">
        <v>129</v>
      </c>
      <c r="C9" s="201" t="s">
        <v>130</v>
      </c>
      <c r="D9" s="201" t="s">
        <v>89</v>
      </c>
      <c r="F9" s="213">
        <v>0</v>
      </c>
      <c r="G9" s="213">
        <v>0</v>
      </c>
      <c r="H9" s="213">
        <v>0</v>
      </c>
      <c r="I9" s="213">
        <v>0</v>
      </c>
      <c r="J9" s="213">
        <v>0</v>
      </c>
      <c r="K9" s="213">
        <v>0</v>
      </c>
      <c r="L9" s="213">
        <v>0</v>
      </c>
      <c r="M9" s="213">
        <v>0</v>
      </c>
      <c r="N9" s="213">
        <v>406.55448841666663</v>
      </c>
      <c r="O9" s="213">
        <v>0</v>
      </c>
      <c r="P9" s="213">
        <v>0</v>
      </c>
      <c r="Q9" s="213">
        <v>0</v>
      </c>
      <c r="R9" s="213">
        <v>0</v>
      </c>
      <c r="S9" s="213">
        <v>0</v>
      </c>
      <c r="T9" s="213">
        <v>406.55448841666663</v>
      </c>
      <c r="U9" s="213">
        <v>0</v>
      </c>
      <c r="V9" s="213">
        <v>0</v>
      </c>
      <c r="W9" s="213">
        <v>0</v>
      </c>
      <c r="X9" s="213">
        <v>0</v>
      </c>
      <c r="Y9" s="213">
        <v>0</v>
      </c>
      <c r="Z9" s="213">
        <v>406.55448841666663</v>
      </c>
      <c r="AA9" s="213">
        <v>0</v>
      </c>
      <c r="AB9" s="213">
        <v>0</v>
      </c>
      <c r="AC9" s="213">
        <v>0</v>
      </c>
    </row>
    <row r="10" spans="1:29" x14ac:dyDescent="0.3">
      <c r="A10" s="84"/>
      <c r="B10" s="201" t="s">
        <v>124</v>
      </c>
      <c r="C10" s="201" t="s">
        <v>125</v>
      </c>
      <c r="D10" s="201" t="s">
        <v>89</v>
      </c>
      <c r="F10" s="213">
        <v>0</v>
      </c>
      <c r="G10" s="213">
        <v>201.92307692307693</v>
      </c>
      <c r="H10" s="213">
        <v>0</v>
      </c>
      <c r="I10" s="213">
        <v>0</v>
      </c>
      <c r="J10" s="213">
        <v>201.92307692307693</v>
      </c>
      <c r="K10" s="213">
        <v>0</v>
      </c>
      <c r="L10" s="213">
        <v>0</v>
      </c>
      <c r="M10" s="213">
        <v>0</v>
      </c>
      <c r="N10" s="213">
        <v>0</v>
      </c>
      <c r="O10" s="213">
        <v>0</v>
      </c>
      <c r="P10" s="213">
        <v>0</v>
      </c>
      <c r="Q10" s="213">
        <v>0</v>
      </c>
      <c r="R10" s="213">
        <v>0</v>
      </c>
      <c r="S10" s="213">
        <v>0</v>
      </c>
      <c r="T10" s="213">
        <v>0</v>
      </c>
      <c r="U10" s="213">
        <v>0</v>
      </c>
      <c r="V10" s="213">
        <v>0</v>
      </c>
      <c r="W10" s="213">
        <v>0</v>
      </c>
      <c r="X10" s="213">
        <v>0</v>
      </c>
      <c r="Y10" s="213">
        <v>0</v>
      </c>
      <c r="Z10" s="213">
        <v>0</v>
      </c>
      <c r="AA10" s="213">
        <v>0</v>
      </c>
      <c r="AB10" s="213">
        <v>0</v>
      </c>
      <c r="AC10" s="213">
        <v>0</v>
      </c>
    </row>
    <row r="11" spans="1:29" x14ac:dyDescent="0.3">
      <c r="A11" s="84"/>
      <c r="B11" s="201" t="s">
        <v>32</v>
      </c>
      <c r="C11" s="201" t="s">
        <v>33</v>
      </c>
      <c r="D11" s="201" t="s">
        <v>89</v>
      </c>
      <c r="F11" s="213">
        <v>0</v>
      </c>
      <c r="G11" s="213">
        <v>3.5214128711999999</v>
      </c>
      <c r="H11" s="213">
        <v>0</v>
      </c>
      <c r="I11" s="213">
        <v>0</v>
      </c>
      <c r="J11" s="213">
        <v>0</v>
      </c>
      <c r="K11" s="213">
        <v>0</v>
      </c>
      <c r="L11" s="213">
        <v>0</v>
      </c>
      <c r="M11" s="213">
        <v>3.5383224167999998</v>
      </c>
      <c r="N11" s="213">
        <v>0</v>
      </c>
      <c r="O11" s="213">
        <v>0</v>
      </c>
      <c r="P11" s="213">
        <v>0</v>
      </c>
      <c r="Q11" s="213">
        <v>0</v>
      </c>
      <c r="R11" s="213">
        <v>0</v>
      </c>
      <c r="S11" s="213">
        <v>0</v>
      </c>
      <c r="T11" s="213">
        <v>0</v>
      </c>
      <c r="U11" s="213">
        <v>0</v>
      </c>
      <c r="V11" s="213">
        <v>0</v>
      </c>
      <c r="W11" s="213">
        <v>0</v>
      </c>
      <c r="X11" s="213">
        <v>0</v>
      </c>
      <c r="Y11" s="213">
        <v>0</v>
      </c>
      <c r="Z11" s="213">
        <v>0</v>
      </c>
      <c r="AA11" s="213">
        <v>0</v>
      </c>
      <c r="AB11" s="213">
        <v>0</v>
      </c>
      <c r="AC11" s="213">
        <v>0</v>
      </c>
    </row>
    <row r="12" spans="1:29" x14ac:dyDescent="0.3">
      <c r="A12" s="84"/>
      <c r="B12" s="201" t="s">
        <v>223</v>
      </c>
      <c r="C12" s="201" t="s">
        <v>225</v>
      </c>
      <c r="D12" s="201" t="s">
        <v>89</v>
      </c>
      <c r="F12" s="213">
        <v>0</v>
      </c>
      <c r="G12" s="213">
        <v>0</v>
      </c>
      <c r="H12" s="213">
        <v>0</v>
      </c>
      <c r="I12" s="213">
        <v>0</v>
      </c>
      <c r="J12" s="213">
        <v>0</v>
      </c>
      <c r="K12" s="213">
        <v>0</v>
      </c>
      <c r="L12" s="213">
        <v>0</v>
      </c>
      <c r="M12" s="213">
        <v>0</v>
      </c>
      <c r="N12" s="213">
        <v>0</v>
      </c>
      <c r="O12" s="213">
        <v>0</v>
      </c>
      <c r="P12" s="213">
        <v>0</v>
      </c>
      <c r="Q12" s="213">
        <v>37314.775999999998</v>
      </c>
      <c r="R12" s="213">
        <v>0</v>
      </c>
      <c r="S12" s="213">
        <v>0</v>
      </c>
      <c r="T12" s="213">
        <v>0</v>
      </c>
      <c r="U12" s="213">
        <v>0</v>
      </c>
      <c r="V12" s="213">
        <v>0</v>
      </c>
      <c r="W12" s="213">
        <v>0</v>
      </c>
      <c r="X12" s="213">
        <v>0</v>
      </c>
      <c r="Y12" s="213">
        <v>0</v>
      </c>
      <c r="Z12" s="213">
        <v>0</v>
      </c>
      <c r="AA12" s="213">
        <v>0</v>
      </c>
      <c r="AB12" s="213">
        <v>0</v>
      </c>
      <c r="AC12" s="213">
        <v>0</v>
      </c>
    </row>
    <row r="13" spans="1:29" x14ac:dyDescent="0.3">
      <c r="A13" s="84"/>
      <c r="B13" s="201" t="s">
        <v>224</v>
      </c>
      <c r="C13" s="201" t="s">
        <v>226</v>
      </c>
      <c r="D13" s="201" t="s">
        <v>89</v>
      </c>
      <c r="F13" s="213">
        <v>0</v>
      </c>
      <c r="G13" s="213">
        <v>0</v>
      </c>
      <c r="H13" s="213">
        <v>0</v>
      </c>
      <c r="I13" s="213">
        <v>0</v>
      </c>
      <c r="J13" s="213">
        <v>0</v>
      </c>
      <c r="K13" s="213">
        <v>0</v>
      </c>
      <c r="L13" s="213">
        <v>0</v>
      </c>
      <c r="M13" s="213">
        <v>0</v>
      </c>
      <c r="N13" s="213">
        <v>0</v>
      </c>
      <c r="O13" s="213">
        <v>0</v>
      </c>
      <c r="P13" s="213">
        <v>0</v>
      </c>
      <c r="Q13" s="213">
        <v>0</v>
      </c>
      <c r="R13" s="213">
        <v>0</v>
      </c>
      <c r="S13" s="213">
        <v>0</v>
      </c>
      <c r="T13" s="213">
        <v>0</v>
      </c>
      <c r="U13" s="213">
        <v>0</v>
      </c>
      <c r="V13" s="213">
        <v>0</v>
      </c>
      <c r="W13" s="213">
        <v>0</v>
      </c>
      <c r="X13" s="213">
        <v>0</v>
      </c>
      <c r="Y13" s="213">
        <v>0</v>
      </c>
      <c r="Z13" s="213">
        <v>6850.6506664199997</v>
      </c>
      <c r="AA13" s="213">
        <v>0</v>
      </c>
      <c r="AB13" s="213">
        <v>0</v>
      </c>
      <c r="AC13" s="213">
        <v>6850.6506664199997</v>
      </c>
    </row>
    <row r="14" spans="1:29" x14ac:dyDescent="0.3">
      <c r="A14" s="84"/>
      <c r="B14" s="201" t="s">
        <v>3</v>
      </c>
      <c r="C14" s="201" t="s">
        <v>4</v>
      </c>
      <c r="D14" s="201" t="s">
        <v>85</v>
      </c>
      <c r="F14" s="213">
        <v>12.80518182</v>
      </c>
      <c r="G14" s="213">
        <v>12.973820469999998</v>
      </c>
      <c r="H14" s="213">
        <v>13.144671109999999</v>
      </c>
      <c r="I14" s="213">
        <v>13.31779695</v>
      </c>
      <c r="J14" s="213">
        <v>13.317796919999997</v>
      </c>
      <c r="K14" s="213">
        <v>13.317796919999997</v>
      </c>
      <c r="L14" s="213">
        <v>13.317796919999997</v>
      </c>
      <c r="M14" s="213">
        <v>13.317796919999997</v>
      </c>
      <c r="N14" s="213">
        <v>13.317796919999997</v>
      </c>
      <c r="O14" s="213">
        <v>13.317796919999997</v>
      </c>
      <c r="P14" s="213">
        <v>13.317796919999997</v>
      </c>
      <c r="Q14" s="213">
        <v>13.317796919999997</v>
      </c>
      <c r="R14" s="213">
        <v>13.317796919999997</v>
      </c>
      <c r="S14" s="213">
        <v>13.317797410000001</v>
      </c>
      <c r="T14" s="213">
        <v>0</v>
      </c>
      <c r="U14" s="213">
        <v>0</v>
      </c>
      <c r="V14" s="213">
        <v>0</v>
      </c>
      <c r="W14" s="213">
        <v>0</v>
      </c>
      <c r="X14" s="213">
        <v>0</v>
      </c>
      <c r="Y14" s="213">
        <v>0</v>
      </c>
      <c r="Z14" s="213">
        <v>0</v>
      </c>
      <c r="AA14" s="213">
        <v>0</v>
      </c>
      <c r="AB14" s="213">
        <v>0</v>
      </c>
      <c r="AC14" s="213">
        <v>0</v>
      </c>
    </row>
    <row r="15" spans="1:29" x14ac:dyDescent="0.3">
      <c r="A15" s="84"/>
      <c r="B15" s="201" t="s">
        <v>7</v>
      </c>
      <c r="C15" s="201" t="s">
        <v>8</v>
      </c>
      <c r="D15" s="201" t="s">
        <v>85</v>
      </c>
      <c r="F15" s="213">
        <v>1.3832311408153957</v>
      </c>
      <c r="G15" s="213">
        <v>1.4014476895148205</v>
      </c>
      <c r="H15" s="213">
        <v>1.419903181109101</v>
      </c>
      <c r="I15" s="213">
        <v>1.4386044424782902</v>
      </c>
      <c r="J15" s="213">
        <v>1.4386044324782903</v>
      </c>
      <c r="K15" s="213">
        <v>1.4386044324782903</v>
      </c>
      <c r="L15" s="213">
        <v>1.4386044324782903</v>
      </c>
      <c r="M15" s="213">
        <v>1.4386044324782903</v>
      </c>
      <c r="N15" s="213">
        <v>1.4386044324782903</v>
      </c>
      <c r="O15" s="213">
        <v>1.4386044324782903</v>
      </c>
      <c r="P15" s="213">
        <v>1.4386044324782903</v>
      </c>
      <c r="Q15" s="213">
        <v>1.4386044324782903</v>
      </c>
      <c r="R15" s="213">
        <v>1.4386045924782902</v>
      </c>
      <c r="S15" s="213">
        <v>0</v>
      </c>
      <c r="T15" s="213">
        <v>0</v>
      </c>
      <c r="U15" s="213">
        <v>0</v>
      </c>
      <c r="V15" s="213">
        <v>0</v>
      </c>
      <c r="W15" s="213">
        <v>0</v>
      </c>
      <c r="X15" s="213">
        <v>0</v>
      </c>
      <c r="Y15" s="213">
        <v>0</v>
      </c>
      <c r="Z15" s="213">
        <v>0</v>
      </c>
      <c r="AA15" s="213">
        <v>0</v>
      </c>
      <c r="AB15" s="213">
        <v>0</v>
      </c>
      <c r="AC15" s="213">
        <v>0</v>
      </c>
    </row>
    <row r="16" spans="1:29" x14ac:dyDescent="0.3">
      <c r="A16" s="84"/>
      <c r="B16" s="201" t="s">
        <v>179</v>
      </c>
      <c r="C16" s="201" t="s">
        <v>230</v>
      </c>
      <c r="D16" s="201" t="s">
        <v>85</v>
      </c>
      <c r="F16" s="213">
        <v>10.824338636989163</v>
      </c>
      <c r="G16" s="213">
        <v>11.330867099999999</v>
      </c>
      <c r="H16" s="213">
        <v>15.994063410000001</v>
      </c>
      <c r="I16" s="213">
        <v>16.530427201698846</v>
      </c>
      <c r="J16" s="213">
        <v>16.530427201698846</v>
      </c>
      <c r="K16" s="213">
        <v>16.530427201698846</v>
      </c>
      <c r="L16" s="213">
        <v>16.530427201698846</v>
      </c>
      <c r="M16" s="213">
        <v>16.530427201698846</v>
      </c>
      <c r="N16" s="213">
        <v>16.530427201698846</v>
      </c>
      <c r="O16" s="213">
        <v>16.530427201698846</v>
      </c>
      <c r="P16" s="213">
        <v>16.530427201698846</v>
      </c>
      <c r="Q16" s="213">
        <v>16.530427201698846</v>
      </c>
      <c r="R16" s="213">
        <v>16.530427201698846</v>
      </c>
      <c r="S16" s="213">
        <v>16.530427201698846</v>
      </c>
      <c r="T16" s="213">
        <v>16.530427201698846</v>
      </c>
      <c r="U16" s="213">
        <v>16.530427201698846</v>
      </c>
      <c r="V16" s="213">
        <v>16.530427201698846</v>
      </c>
      <c r="W16" s="213">
        <v>16.530427201698846</v>
      </c>
      <c r="X16" s="213">
        <v>16.530427201698846</v>
      </c>
      <c r="Y16" s="213">
        <v>16.530427201698846</v>
      </c>
      <c r="Z16" s="213">
        <v>16.530427201698846</v>
      </c>
      <c r="AA16" s="213">
        <v>16.530427201698846</v>
      </c>
      <c r="AB16" s="213">
        <v>16.530427201698846</v>
      </c>
      <c r="AC16" s="213">
        <v>16.530427201698846</v>
      </c>
    </row>
    <row r="17" spans="1:29" x14ac:dyDescent="0.3">
      <c r="A17" s="84"/>
      <c r="B17" s="201" t="s">
        <v>135</v>
      </c>
      <c r="C17" s="201" t="s">
        <v>136</v>
      </c>
      <c r="D17" s="201" t="s">
        <v>86</v>
      </c>
      <c r="F17" s="213">
        <v>358.91512632999996</v>
      </c>
      <c r="G17" s="213">
        <v>358.91512632999996</v>
      </c>
      <c r="H17" s="213">
        <v>358.91512632999996</v>
      </c>
      <c r="I17" s="213">
        <v>358.91512632999996</v>
      </c>
      <c r="J17" s="213">
        <v>358.91512632999996</v>
      </c>
      <c r="K17" s="213">
        <v>358.91512632999996</v>
      </c>
      <c r="L17" s="213">
        <v>358.91512632999996</v>
      </c>
      <c r="M17" s="213">
        <v>358.91512632999996</v>
      </c>
      <c r="N17" s="213">
        <v>358.91512632999996</v>
      </c>
      <c r="O17" s="213">
        <v>358.91512632999996</v>
      </c>
      <c r="P17" s="213">
        <v>358.91512632999996</v>
      </c>
      <c r="Q17" s="213">
        <v>358.91512632999996</v>
      </c>
      <c r="R17" s="213">
        <v>358.91512632999996</v>
      </c>
      <c r="S17" s="213">
        <v>358.91512632999996</v>
      </c>
      <c r="T17" s="213">
        <v>358.91512632999996</v>
      </c>
      <c r="U17" s="213">
        <v>358.91512632999996</v>
      </c>
      <c r="V17" s="213">
        <v>358.91512632999996</v>
      </c>
      <c r="W17" s="213">
        <v>358.91512632999996</v>
      </c>
      <c r="X17" s="213">
        <v>358.91512632999996</v>
      </c>
      <c r="Y17" s="213">
        <v>358.91512632999996</v>
      </c>
      <c r="Z17" s="213">
        <v>358.91512632999996</v>
      </c>
      <c r="AA17" s="213">
        <v>358.91512632999996</v>
      </c>
      <c r="AB17" s="213">
        <v>358.91512632999996</v>
      </c>
      <c r="AC17" s="213">
        <v>358.91512632999996</v>
      </c>
    </row>
    <row r="18" spans="1:29" x14ac:dyDescent="0.3">
      <c r="A18" s="84"/>
      <c r="B18" s="215" t="s">
        <v>247</v>
      </c>
      <c r="C18" s="215" t="s">
        <v>248</v>
      </c>
      <c r="D18" s="215" t="s">
        <v>86</v>
      </c>
      <c r="F18" s="280">
        <v>0</v>
      </c>
      <c r="G18" s="280">
        <v>0</v>
      </c>
      <c r="H18" s="280">
        <v>0</v>
      </c>
      <c r="I18" s="280">
        <v>0</v>
      </c>
      <c r="J18" s="280">
        <v>0</v>
      </c>
      <c r="K18" s="280">
        <v>0</v>
      </c>
      <c r="L18" s="280">
        <v>0</v>
      </c>
      <c r="M18" s="280">
        <v>0</v>
      </c>
      <c r="N18" s="280">
        <v>0</v>
      </c>
      <c r="O18" s="280">
        <v>185.18518518518516</v>
      </c>
      <c r="P18" s="280">
        <v>370.37037037037032</v>
      </c>
      <c r="Q18" s="280">
        <v>553.37037037037044</v>
      </c>
      <c r="R18" s="280">
        <v>553.37037037037044</v>
      </c>
      <c r="S18" s="280">
        <v>553.37037037037044</v>
      </c>
      <c r="T18" s="280">
        <v>553.37037037037044</v>
      </c>
      <c r="U18" s="280">
        <v>553.37037037037044</v>
      </c>
      <c r="V18" s="280">
        <v>553.37037037037044</v>
      </c>
      <c r="W18" s="280">
        <v>553.37037037037044</v>
      </c>
      <c r="X18" s="280">
        <v>553.37037037037044</v>
      </c>
      <c r="Y18" s="280">
        <v>553.37037037037044</v>
      </c>
      <c r="Z18" s="280">
        <v>553.37037037037044</v>
      </c>
      <c r="AA18" s="280">
        <v>553.37037037037044</v>
      </c>
      <c r="AB18" s="280">
        <v>553.37037037037044</v>
      </c>
      <c r="AC18" s="280">
        <v>553.37037037037044</v>
      </c>
    </row>
    <row r="19" spans="1:29" x14ac:dyDescent="0.3">
      <c r="A19" s="84"/>
      <c r="B19" s="8" t="s">
        <v>250</v>
      </c>
      <c r="C19" s="8" t="s">
        <v>261</v>
      </c>
      <c r="D19" s="215" t="s">
        <v>89</v>
      </c>
      <c r="F19" s="280">
        <v>0</v>
      </c>
      <c r="G19" s="280">
        <v>0</v>
      </c>
      <c r="H19" s="280">
        <v>0</v>
      </c>
      <c r="I19" s="280">
        <v>0</v>
      </c>
      <c r="J19" s="280">
        <v>0</v>
      </c>
      <c r="K19" s="280">
        <v>0</v>
      </c>
      <c r="L19" s="280">
        <v>0</v>
      </c>
      <c r="M19" s="280">
        <v>0</v>
      </c>
      <c r="N19" s="280">
        <v>0</v>
      </c>
      <c r="O19" s="280">
        <v>0</v>
      </c>
      <c r="P19" s="280">
        <v>0</v>
      </c>
      <c r="Q19" s="280">
        <v>0</v>
      </c>
      <c r="R19" s="280">
        <v>0</v>
      </c>
      <c r="S19" s="280">
        <v>0</v>
      </c>
      <c r="T19" s="280">
        <v>0</v>
      </c>
      <c r="U19" s="280">
        <v>0</v>
      </c>
      <c r="V19" s="280">
        <v>0</v>
      </c>
      <c r="W19" s="280">
        <v>32952.029000000002</v>
      </c>
      <c r="X19" s="280">
        <v>0</v>
      </c>
      <c r="Y19" s="280">
        <v>0</v>
      </c>
      <c r="Z19" s="280">
        <v>0</v>
      </c>
      <c r="AA19" s="280">
        <v>0</v>
      </c>
      <c r="AB19" s="280">
        <v>0</v>
      </c>
      <c r="AC19" s="280">
        <v>0</v>
      </c>
    </row>
    <row r="20" spans="1:29" customFormat="1" ht="18.75" customHeight="1" x14ac:dyDescent="0.25">
      <c r="B20" s="8" t="s">
        <v>251</v>
      </c>
      <c r="C20" s="8" t="s">
        <v>262</v>
      </c>
      <c r="D20" s="215" t="s">
        <v>89</v>
      </c>
      <c r="E20" s="284"/>
      <c r="F20" s="280">
        <v>0</v>
      </c>
      <c r="G20" s="280">
        <v>0</v>
      </c>
      <c r="H20" s="280">
        <v>0</v>
      </c>
      <c r="I20" s="280">
        <v>0</v>
      </c>
      <c r="J20" s="280">
        <v>0</v>
      </c>
      <c r="K20" s="280">
        <v>0</v>
      </c>
      <c r="L20" s="280">
        <v>0</v>
      </c>
      <c r="M20" s="280">
        <v>0</v>
      </c>
      <c r="N20" s="280">
        <v>0</v>
      </c>
      <c r="O20" s="280">
        <v>0</v>
      </c>
      <c r="P20" s="280">
        <v>0</v>
      </c>
      <c r="Q20" s="280">
        <v>0</v>
      </c>
      <c r="R20" s="280">
        <v>0</v>
      </c>
      <c r="S20" s="280">
        <v>0</v>
      </c>
      <c r="T20" s="280">
        <v>0</v>
      </c>
      <c r="U20" s="280">
        <v>0</v>
      </c>
      <c r="V20" s="280">
        <v>0</v>
      </c>
      <c r="W20" s="280">
        <v>0</v>
      </c>
      <c r="X20" s="280">
        <v>0</v>
      </c>
      <c r="Y20" s="280">
        <v>0</v>
      </c>
      <c r="Z20" s="280">
        <v>0</v>
      </c>
      <c r="AA20" s="280">
        <v>0</v>
      </c>
      <c r="AB20" s="280">
        <v>0</v>
      </c>
      <c r="AC20" s="280">
        <v>23820</v>
      </c>
    </row>
    <row r="21" spans="1:29" customFormat="1" ht="6" customHeight="1" x14ac:dyDescent="0.25">
      <c r="B21" s="12"/>
      <c r="C21" s="12"/>
      <c r="D21" s="4"/>
      <c r="E21" s="284"/>
      <c r="F21" s="287"/>
      <c r="G21" s="287"/>
      <c r="H21" s="287"/>
      <c r="I21" s="287"/>
      <c r="J21" s="287"/>
      <c r="K21" s="287"/>
      <c r="L21" s="287"/>
      <c r="M21" s="287"/>
      <c r="N21" s="287"/>
      <c r="O21" s="287"/>
      <c r="P21" s="287"/>
      <c r="Q21" s="287"/>
      <c r="R21" s="287"/>
      <c r="S21" s="287"/>
      <c r="T21" s="287"/>
      <c r="U21" s="287"/>
      <c r="V21" s="287"/>
      <c r="W21" s="287"/>
      <c r="X21" s="287"/>
      <c r="Y21" s="287"/>
      <c r="Z21" s="287"/>
      <c r="AA21" s="287"/>
      <c r="AB21" s="287"/>
      <c r="AC21" s="287"/>
    </row>
    <row r="22" spans="1:29" ht="28.5" customHeight="1" x14ac:dyDescent="0.3">
      <c r="B22" s="318" t="s">
        <v>35</v>
      </c>
      <c r="C22" s="318"/>
      <c r="D22" s="318"/>
      <c r="E22" s="115"/>
      <c r="F22" s="180">
        <f t="shared" ref="F22:AB22" si="12">+SUM(F7:F20)</f>
        <v>389.7608228578045</v>
      </c>
      <c r="G22" s="180">
        <f t="shared" si="12"/>
        <v>590.06575138379173</v>
      </c>
      <c r="H22" s="180">
        <f t="shared" si="12"/>
        <v>1398.2237640311091</v>
      </c>
      <c r="I22" s="180">
        <f t="shared" si="12"/>
        <v>396.22495816417711</v>
      </c>
      <c r="J22" s="180">
        <f t="shared" si="12"/>
        <v>592.125031807254</v>
      </c>
      <c r="K22" s="180">
        <f t="shared" si="12"/>
        <v>1398.9519548841772</v>
      </c>
      <c r="L22" s="180">
        <f t="shared" si="12"/>
        <v>396.29692326417711</v>
      </c>
      <c r="M22" s="180">
        <f t="shared" si="12"/>
        <v>393.74027730097708</v>
      </c>
      <c r="N22" s="180">
        <f t="shared" si="12"/>
        <v>796.75644330084378</v>
      </c>
      <c r="O22" s="180">
        <f t="shared" si="12"/>
        <v>581.6354301893623</v>
      </c>
      <c r="P22" s="180">
        <f t="shared" si="12"/>
        <v>760.57232525454742</v>
      </c>
      <c r="Q22" s="180">
        <f t="shared" si="12"/>
        <v>38258.348325254548</v>
      </c>
      <c r="R22" s="180">
        <f t="shared" si="12"/>
        <v>950.12942369454754</v>
      </c>
      <c r="S22" s="180">
        <f t="shared" si="12"/>
        <v>942.13372131206927</v>
      </c>
      <c r="T22" s="180">
        <f t="shared" si="12"/>
        <v>1335.3704123187358</v>
      </c>
      <c r="U22" s="180">
        <f t="shared" si="12"/>
        <v>932.98685971206919</v>
      </c>
      <c r="V22" s="180">
        <f t="shared" si="12"/>
        <v>928.81592390206924</v>
      </c>
      <c r="W22" s="180">
        <f t="shared" si="12"/>
        <v>33880.84492390207</v>
      </c>
      <c r="X22" s="180">
        <f t="shared" si="12"/>
        <v>933.09134635206919</v>
      </c>
      <c r="Y22" s="180">
        <f t="shared" si="12"/>
        <v>928.81592390206924</v>
      </c>
      <c r="Z22" s="180">
        <f t="shared" si="12"/>
        <v>8186.0210787387359</v>
      </c>
      <c r="AA22" s="180">
        <f t="shared" si="12"/>
        <v>933.20864559206927</v>
      </c>
      <c r="AB22" s="180">
        <f t="shared" si="12"/>
        <v>928.81592390206924</v>
      </c>
      <c r="AC22" s="180">
        <f>+SUM(AC7:AC20)</f>
        <v>31599.46659032207</v>
      </c>
    </row>
    <row r="23" spans="1:29" x14ac:dyDescent="0.3">
      <c r="B23" s="317" t="s">
        <v>171</v>
      </c>
      <c r="C23" s="317"/>
      <c r="D23" s="317"/>
      <c r="E23" s="115"/>
    </row>
    <row r="24" spans="1:29" x14ac:dyDescent="0.3">
      <c r="B24" s="317"/>
      <c r="C24" s="317"/>
      <c r="D24" s="317"/>
      <c r="E24" s="115"/>
    </row>
    <row r="25" spans="1:29" ht="16.5" customHeight="1" x14ac:dyDescent="0.3">
      <c r="B25" s="317"/>
      <c r="C25" s="317"/>
      <c r="D25" s="317"/>
      <c r="E25" s="115"/>
    </row>
    <row r="26" spans="1:29" x14ac:dyDescent="0.3">
      <c r="B26" s="317"/>
      <c r="C26" s="317"/>
      <c r="D26" s="317"/>
      <c r="E26" s="115"/>
    </row>
    <row r="27" spans="1:29" x14ac:dyDescent="0.3">
      <c r="B27" s="118"/>
      <c r="C27" s="118"/>
      <c r="D27" s="118"/>
      <c r="E27" s="115"/>
    </row>
    <row r="28" spans="1:29" x14ac:dyDescent="0.3">
      <c r="B28" s="113"/>
      <c r="C28" s="118"/>
      <c r="D28" s="118"/>
      <c r="E28" s="115"/>
    </row>
    <row r="29" spans="1:29" ht="30.75" customHeight="1" x14ac:dyDescent="0.3">
      <c r="B29" s="315" t="s">
        <v>94</v>
      </c>
      <c r="C29" s="315"/>
      <c r="D29" s="315"/>
      <c r="E29" s="115"/>
    </row>
    <row r="30" spans="1:29" x14ac:dyDescent="0.3">
      <c r="B30" s="311" t="s">
        <v>0</v>
      </c>
      <c r="C30" s="313" t="s">
        <v>1</v>
      </c>
      <c r="D30" s="313" t="s">
        <v>91</v>
      </c>
      <c r="E30" s="115"/>
      <c r="F30" s="181">
        <v>2025</v>
      </c>
      <c r="G30" s="181">
        <v>2025</v>
      </c>
      <c r="H30" s="181">
        <v>2025</v>
      </c>
      <c r="I30" s="181">
        <v>2025</v>
      </c>
      <c r="J30" s="181">
        <v>2025</v>
      </c>
      <c r="K30" s="181">
        <v>2025</v>
      </c>
      <c r="L30" s="181">
        <v>2025</v>
      </c>
      <c r="M30" s="181">
        <v>2025</v>
      </c>
      <c r="N30" s="181">
        <v>2025</v>
      </c>
      <c r="O30" s="181">
        <v>2025</v>
      </c>
      <c r="P30" s="181">
        <v>2025</v>
      </c>
      <c r="Q30" s="181">
        <v>2025</v>
      </c>
      <c r="R30" s="181">
        <v>2026</v>
      </c>
      <c r="S30" s="181">
        <v>2026</v>
      </c>
      <c r="T30" s="181">
        <v>2026</v>
      </c>
      <c r="U30" s="181">
        <v>2026</v>
      </c>
      <c r="V30" s="181">
        <v>2026</v>
      </c>
      <c r="W30" s="181">
        <v>2026</v>
      </c>
      <c r="X30" s="181">
        <v>2026</v>
      </c>
      <c r="Y30" s="181">
        <v>2026</v>
      </c>
      <c r="Z30" s="181">
        <v>2026</v>
      </c>
      <c r="AA30" s="181">
        <v>2026</v>
      </c>
      <c r="AB30" s="181">
        <v>2026</v>
      </c>
      <c r="AC30" s="181">
        <v>2026</v>
      </c>
    </row>
    <row r="31" spans="1:29" x14ac:dyDescent="0.3">
      <c r="B31" s="312"/>
      <c r="C31" s="314"/>
      <c r="D31" s="314"/>
      <c r="E31" s="115"/>
      <c r="F31" s="181">
        <v>1</v>
      </c>
      <c r="G31" s="181">
        <f t="shared" ref="G31" si="13">+F31+1</f>
        <v>2</v>
      </c>
      <c r="H31" s="181">
        <f t="shared" ref="H31" si="14">+G31+1</f>
        <v>3</v>
      </c>
      <c r="I31" s="181">
        <f t="shared" ref="I31" si="15">+H31+1</f>
        <v>4</v>
      </c>
      <c r="J31" s="181">
        <f t="shared" ref="J31" si="16">+I31+1</f>
        <v>5</v>
      </c>
      <c r="K31" s="181">
        <f t="shared" ref="K31" si="17">+J31+1</f>
        <v>6</v>
      </c>
      <c r="L31" s="181">
        <f t="shared" ref="L31" si="18">+K31+1</f>
        <v>7</v>
      </c>
      <c r="M31" s="181">
        <f t="shared" ref="M31" si="19">+L31+1</f>
        <v>8</v>
      </c>
      <c r="N31" s="181">
        <f t="shared" ref="N31" si="20">+M31+1</f>
        <v>9</v>
      </c>
      <c r="O31" s="181">
        <f t="shared" ref="O31" si="21">+N31+1</f>
        <v>10</v>
      </c>
      <c r="P31" s="181">
        <f t="shared" ref="P31" si="22">+O31+1</f>
        <v>11</v>
      </c>
      <c r="Q31" s="181">
        <f t="shared" ref="Q31" si="23">+P31+1</f>
        <v>12</v>
      </c>
      <c r="R31" s="181">
        <v>1</v>
      </c>
      <c r="S31" s="181">
        <f>+R31+1</f>
        <v>2</v>
      </c>
      <c r="T31" s="181">
        <f t="shared" ref="T31" si="24">+S31+1</f>
        <v>3</v>
      </c>
      <c r="U31" s="181">
        <f t="shared" ref="U31" si="25">+T31+1</f>
        <v>4</v>
      </c>
      <c r="V31" s="181">
        <f t="shared" ref="V31" si="26">+U31+1</f>
        <v>5</v>
      </c>
      <c r="W31" s="181">
        <f t="shared" ref="W31" si="27">+V31+1</f>
        <v>6</v>
      </c>
      <c r="X31" s="181">
        <f t="shared" ref="X31" si="28">+W31+1</f>
        <v>7</v>
      </c>
      <c r="Y31" s="181">
        <f t="shared" ref="Y31" si="29">+X31+1</f>
        <v>8</v>
      </c>
      <c r="Z31" s="181">
        <f t="shared" ref="Z31" si="30">+Y31+1</f>
        <v>9</v>
      </c>
      <c r="AA31" s="181">
        <f t="shared" ref="AA31" si="31">+Z31+1</f>
        <v>10</v>
      </c>
      <c r="AB31" s="181">
        <f t="shared" ref="AB31" si="32">+AA31+1</f>
        <v>11</v>
      </c>
      <c r="AC31" s="181">
        <f t="shared" ref="AC31" si="33">+AB31+1</f>
        <v>12</v>
      </c>
    </row>
    <row r="32" spans="1:29" x14ac:dyDescent="0.3">
      <c r="A32" s="17" t="s">
        <v>38</v>
      </c>
      <c r="B32" s="201" t="s">
        <v>11</v>
      </c>
      <c r="C32" s="201" t="s">
        <v>12</v>
      </c>
      <c r="D32" s="201" t="s">
        <v>88</v>
      </c>
      <c r="E32" s="115"/>
      <c r="F32" s="213">
        <v>0</v>
      </c>
      <c r="G32" s="213">
        <v>0</v>
      </c>
      <c r="H32" s="213">
        <v>0</v>
      </c>
      <c r="I32" s="213">
        <v>0</v>
      </c>
      <c r="J32" s="213">
        <v>0</v>
      </c>
      <c r="K32" s="213">
        <v>1.4257660471664431</v>
      </c>
      <c r="L32" s="213">
        <v>0</v>
      </c>
      <c r="M32" s="213">
        <v>0</v>
      </c>
      <c r="N32" s="213">
        <v>0</v>
      </c>
      <c r="O32" s="213">
        <v>0</v>
      </c>
      <c r="P32" s="213">
        <v>0</v>
      </c>
      <c r="Q32" s="213">
        <v>1.4257660471664431</v>
      </c>
      <c r="R32" s="213">
        <v>0</v>
      </c>
      <c r="S32" s="213">
        <v>0</v>
      </c>
      <c r="T32" s="213">
        <v>0</v>
      </c>
      <c r="U32" s="213">
        <v>0</v>
      </c>
      <c r="V32" s="213">
        <v>0</v>
      </c>
      <c r="W32" s="213">
        <v>1.4257660471664431</v>
      </c>
      <c r="X32" s="213">
        <v>0</v>
      </c>
      <c r="Y32" s="213">
        <v>0</v>
      </c>
      <c r="Z32" s="213">
        <v>0</v>
      </c>
      <c r="AA32" s="213">
        <v>0</v>
      </c>
      <c r="AB32" s="213">
        <v>0</v>
      </c>
      <c r="AC32" s="213">
        <v>1.4257660471664431</v>
      </c>
    </row>
    <row r="33" spans="1:29" x14ac:dyDescent="0.3">
      <c r="A33" s="17" t="s">
        <v>38</v>
      </c>
      <c r="B33" s="201" t="s">
        <v>17</v>
      </c>
      <c r="C33" s="201" t="s">
        <v>18</v>
      </c>
      <c r="D33" s="201" t="s">
        <v>88</v>
      </c>
      <c r="E33" s="115"/>
      <c r="F33" s="213">
        <v>0</v>
      </c>
      <c r="G33" s="213">
        <v>1.27059031</v>
      </c>
      <c r="H33" s="213">
        <v>0</v>
      </c>
      <c r="I33" s="213">
        <v>0</v>
      </c>
      <c r="J33" s="213">
        <v>0</v>
      </c>
      <c r="K33" s="213">
        <v>0</v>
      </c>
      <c r="L33" s="213">
        <v>0</v>
      </c>
      <c r="M33" s="213">
        <v>1.2705903105221876</v>
      </c>
      <c r="N33" s="213">
        <v>0</v>
      </c>
      <c r="O33" s="213">
        <v>0</v>
      </c>
      <c r="P33" s="213">
        <v>0</v>
      </c>
      <c r="Q33" s="213">
        <v>0</v>
      </c>
      <c r="R33" s="213">
        <v>0</v>
      </c>
      <c r="S33" s="213">
        <v>1.2705903105221876</v>
      </c>
      <c r="T33" s="213">
        <v>0</v>
      </c>
      <c r="U33" s="213">
        <v>0</v>
      </c>
      <c r="V33" s="213">
        <v>0</v>
      </c>
      <c r="W33" s="213">
        <v>0</v>
      </c>
      <c r="X33" s="213">
        <v>0</v>
      </c>
      <c r="Y33" s="213">
        <v>1.2705903105221876</v>
      </c>
      <c r="Z33" s="213">
        <v>0</v>
      </c>
      <c r="AA33" s="213">
        <v>0</v>
      </c>
      <c r="AB33" s="213">
        <v>0</v>
      </c>
      <c r="AC33" s="213">
        <v>0</v>
      </c>
    </row>
    <row r="34" spans="1:29" x14ac:dyDescent="0.3">
      <c r="A34" s="17" t="s">
        <v>38</v>
      </c>
      <c r="B34" s="201" t="s">
        <v>13</v>
      </c>
      <c r="C34" s="201" t="s">
        <v>14</v>
      </c>
      <c r="D34" s="201" t="s">
        <v>88</v>
      </c>
      <c r="E34" s="115"/>
      <c r="F34" s="213">
        <v>0</v>
      </c>
      <c r="G34" s="213">
        <v>0</v>
      </c>
      <c r="H34" s="213">
        <v>0</v>
      </c>
      <c r="I34" s="213">
        <v>1.445942759999999</v>
      </c>
      <c r="J34" s="213">
        <v>0</v>
      </c>
      <c r="K34" s="213">
        <v>0</v>
      </c>
      <c r="L34" s="213">
        <v>0</v>
      </c>
      <c r="M34" s="213">
        <v>0</v>
      </c>
      <c r="N34" s="213">
        <v>0</v>
      </c>
      <c r="O34" s="213">
        <v>1.445942759999999</v>
      </c>
      <c r="P34" s="213">
        <v>0</v>
      </c>
      <c r="Q34" s="213">
        <v>0</v>
      </c>
      <c r="R34" s="213">
        <v>0</v>
      </c>
      <c r="S34" s="213">
        <v>0</v>
      </c>
      <c r="T34" s="213">
        <v>0</v>
      </c>
      <c r="U34" s="213">
        <v>1.445942759999999</v>
      </c>
      <c r="V34" s="213">
        <v>0</v>
      </c>
      <c r="W34" s="213">
        <v>0</v>
      </c>
      <c r="X34" s="213">
        <v>0</v>
      </c>
      <c r="Y34" s="213">
        <v>0</v>
      </c>
      <c r="Z34" s="213">
        <v>0</v>
      </c>
      <c r="AA34" s="213">
        <v>1.445942759999999</v>
      </c>
      <c r="AB34" s="213">
        <v>0</v>
      </c>
      <c r="AC34" s="213">
        <v>0</v>
      </c>
    </row>
    <row r="35" spans="1:29" x14ac:dyDescent="0.3">
      <c r="A35" s="17" t="s">
        <v>38</v>
      </c>
      <c r="B35" s="201" t="s">
        <v>15</v>
      </c>
      <c r="C35" s="201" t="s">
        <v>16</v>
      </c>
      <c r="D35" s="201" t="s">
        <v>88</v>
      </c>
      <c r="E35" s="115"/>
      <c r="F35" s="213">
        <v>0</v>
      </c>
      <c r="G35" s="213">
        <v>2.4354049257142849</v>
      </c>
      <c r="H35" s="213">
        <v>0</v>
      </c>
      <c r="I35" s="213">
        <v>0</v>
      </c>
      <c r="J35" s="213">
        <v>0</v>
      </c>
      <c r="K35" s="213">
        <v>0</v>
      </c>
      <c r="L35" s="213">
        <v>0</v>
      </c>
      <c r="M35" s="213">
        <v>2.4354049257142849</v>
      </c>
      <c r="N35" s="213">
        <v>0</v>
      </c>
      <c r="O35" s="213">
        <v>0</v>
      </c>
      <c r="P35" s="213">
        <v>0</v>
      </c>
      <c r="Q35" s="213">
        <v>0</v>
      </c>
      <c r="R35" s="213">
        <v>0</v>
      </c>
      <c r="S35" s="213">
        <v>0</v>
      </c>
      <c r="T35" s="213">
        <v>0</v>
      </c>
      <c r="U35" s="213">
        <v>0</v>
      </c>
      <c r="V35" s="213">
        <v>0</v>
      </c>
      <c r="W35" s="213">
        <v>0</v>
      </c>
      <c r="X35" s="213">
        <v>0</v>
      </c>
      <c r="Y35" s="213">
        <v>0</v>
      </c>
      <c r="Z35" s="213">
        <v>0</v>
      </c>
      <c r="AA35" s="213">
        <v>0</v>
      </c>
      <c r="AB35" s="213">
        <v>0</v>
      </c>
      <c r="AC35" s="213">
        <v>0</v>
      </c>
    </row>
    <row r="36" spans="1:29" x14ac:dyDescent="0.3">
      <c r="A36" s="17" t="s">
        <v>38</v>
      </c>
      <c r="B36" s="201" t="s">
        <v>21</v>
      </c>
      <c r="C36" s="201" t="s">
        <v>22</v>
      </c>
      <c r="D36" s="201" t="s">
        <v>88</v>
      </c>
      <c r="E36" s="115"/>
      <c r="F36" s="213">
        <v>0</v>
      </c>
      <c r="G36" s="213">
        <v>0</v>
      </c>
      <c r="H36" s="213">
        <v>0</v>
      </c>
      <c r="I36" s="213">
        <v>0.38262267999999999</v>
      </c>
      <c r="J36" s="213">
        <v>0</v>
      </c>
      <c r="K36" s="213">
        <v>0</v>
      </c>
      <c r="L36" s="213">
        <v>0</v>
      </c>
      <c r="M36" s="213">
        <v>0</v>
      </c>
      <c r="N36" s="213">
        <v>0</v>
      </c>
      <c r="O36" s="213">
        <v>0.38262268328081106</v>
      </c>
      <c r="P36" s="213">
        <v>0</v>
      </c>
      <c r="Q36" s="213">
        <v>0</v>
      </c>
      <c r="R36" s="213">
        <v>0</v>
      </c>
      <c r="S36" s="213">
        <v>0</v>
      </c>
      <c r="T36" s="213">
        <v>0</v>
      </c>
      <c r="U36" s="213">
        <v>0.38262268328081106</v>
      </c>
      <c r="V36" s="213">
        <v>0</v>
      </c>
      <c r="W36" s="213">
        <v>0</v>
      </c>
      <c r="X36" s="213">
        <v>0</v>
      </c>
      <c r="Y36" s="213">
        <v>0</v>
      </c>
      <c r="Z36" s="213">
        <v>0</v>
      </c>
      <c r="AA36" s="213">
        <v>0.382622683280811</v>
      </c>
      <c r="AB36" s="213">
        <v>0</v>
      </c>
      <c r="AC36" s="213">
        <v>0</v>
      </c>
    </row>
    <row r="37" spans="1:29" x14ac:dyDescent="0.3">
      <c r="A37" s="17" t="s">
        <v>38</v>
      </c>
      <c r="B37" s="201" t="s">
        <v>19</v>
      </c>
      <c r="C37" s="201" t="s">
        <v>20</v>
      </c>
      <c r="D37" s="201" t="s">
        <v>88</v>
      </c>
      <c r="E37" s="115"/>
      <c r="F37" s="213">
        <v>0</v>
      </c>
      <c r="G37" s="213">
        <v>0</v>
      </c>
      <c r="H37" s="213">
        <v>0</v>
      </c>
      <c r="I37" s="213">
        <v>0</v>
      </c>
      <c r="J37" s="213">
        <v>0.19690853</v>
      </c>
      <c r="K37" s="213">
        <v>0</v>
      </c>
      <c r="L37" s="213">
        <v>0</v>
      </c>
      <c r="M37" s="213">
        <v>0</v>
      </c>
      <c r="N37" s="213">
        <v>0</v>
      </c>
      <c r="O37" s="213">
        <v>0</v>
      </c>
      <c r="P37" s="213">
        <v>0.19690854136491209</v>
      </c>
      <c r="Q37" s="213">
        <v>0</v>
      </c>
      <c r="R37" s="213">
        <v>0</v>
      </c>
      <c r="S37" s="213">
        <v>0</v>
      </c>
      <c r="T37" s="213">
        <v>0</v>
      </c>
      <c r="U37" s="213">
        <v>0</v>
      </c>
      <c r="V37" s="213">
        <v>0.19690854136491212</v>
      </c>
      <c r="W37" s="213">
        <v>0</v>
      </c>
      <c r="X37" s="213">
        <v>0</v>
      </c>
      <c r="Y37" s="213">
        <v>0</v>
      </c>
      <c r="Z37" s="213">
        <v>0</v>
      </c>
      <c r="AA37" s="213">
        <v>0</v>
      </c>
      <c r="AB37" s="213">
        <v>0.19690854136491209</v>
      </c>
      <c r="AC37" s="213">
        <v>0</v>
      </c>
    </row>
    <row r="38" spans="1:29" x14ac:dyDescent="0.3">
      <c r="A38" s="17" t="s">
        <v>38</v>
      </c>
      <c r="B38" s="201" t="s">
        <v>121</v>
      </c>
      <c r="C38" s="201" t="s">
        <v>122</v>
      </c>
      <c r="D38" s="201" t="s">
        <v>88</v>
      </c>
      <c r="E38" s="115"/>
      <c r="F38" s="213">
        <v>0</v>
      </c>
      <c r="G38" s="213">
        <v>0</v>
      </c>
      <c r="H38" s="213">
        <v>0</v>
      </c>
      <c r="I38" s="213">
        <v>0</v>
      </c>
      <c r="J38" s="213">
        <v>0.86129999999999995</v>
      </c>
      <c r="K38" s="213">
        <v>0</v>
      </c>
      <c r="L38" s="213">
        <v>0</v>
      </c>
      <c r="M38" s="213">
        <v>0</v>
      </c>
      <c r="N38" s="213">
        <v>0</v>
      </c>
      <c r="O38" s="213">
        <v>0</v>
      </c>
      <c r="P38" s="213">
        <v>0.86129999999999995</v>
      </c>
      <c r="Q38" s="213">
        <v>0</v>
      </c>
      <c r="R38" s="213">
        <v>0</v>
      </c>
      <c r="S38" s="213">
        <v>0</v>
      </c>
      <c r="T38" s="213">
        <v>0</v>
      </c>
      <c r="U38" s="213">
        <v>0</v>
      </c>
      <c r="V38" s="213">
        <v>0.86129999999999995</v>
      </c>
      <c r="W38" s="213">
        <v>0</v>
      </c>
      <c r="X38" s="213">
        <v>0</v>
      </c>
      <c r="Y38" s="213">
        <v>0</v>
      </c>
      <c r="Z38" s="213">
        <v>0</v>
      </c>
      <c r="AA38" s="213">
        <v>0</v>
      </c>
      <c r="AB38" s="213">
        <v>0.86129999999999995</v>
      </c>
      <c r="AC38" s="213">
        <v>0</v>
      </c>
    </row>
    <row r="39" spans="1:29" x14ac:dyDescent="0.3">
      <c r="A39" s="17"/>
      <c r="B39" s="201" t="s">
        <v>138</v>
      </c>
      <c r="C39" s="201" t="s">
        <v>204</v>
      </c>
      <c r="D39" s="201" t="s">
        <v>88</v>
      </c>
      <c r="E39" s="115"/>
      <c r="F39" s="213">
        <v>0</v>
      </c>
      <c r="G39" s="213">
        <v>0</v>
      </c>
      <c r="H39" s="213">
        <v>0</v>
      </c>
      <c r="I39" s="213">
        <v>0</v>
      </c>
      <c r="J39" s="213">
        <v>0</v>
      </c>
      <c r="K39" s="213">
        <v>0</v>
      </c>
      <c r="L39" s="213">
        <v>0</v>
      </c>
      <c r="M39" s="213">
        <v>0</v>
      </c>
      <c r="N39" s="213">
        <v>0</v>
      </c>
      <c r="O39" s="213">
        <v>0</v>
      </c>
      <c r="P39" s="213">
        <v>0</v>
      </c>
      <c r="Q39" s="213">
        <v>0</v>
      </c>
      <c r="R39" s="213">
        <v>0.21060277503051453</v>
      </c>
      <c r="S39" s="213">
        <v>0</v>
      </c>
      <c r="T39" s="213">
        <v>0</v>
      </c>
      <c r="U39" s="213">
        <v>0</v>
      </c>
      <c r="V39" s="213">
        <v>0</v>
      </c>
      <c r="W39" s="213">
        <v>0</v>
      </c>
      <c r="X39" s="213">
        <v>0.21060277503051453</v>
      </c>
      <c r="Y39" s="213">
        <v>0</v>
      </c>
      <c r="Z39" s="213">
        <v>0</v>
      </c>
      <c r="AA39" s="213">
        <v>0</v>
      </c>
      <c r="AB39" s="213">
        <v>0</v>
      </c>
      <c r="AC39" s="213">
        <v>0</v>
      </c>
    </row>
    <row r="40" spans="1:29" x14ac:dyDescent="0.3">
      <c r="A40" s="17" t="s">
        <v>38</v>
      </c>
      <c r="B40" s="201" t="s">
        <v>23</v>
      </c>
      <c r="C40" s="201" t="s">
        <v>24</v>
      </c>
      <c r="D40" s="201" t="s">
        <v>88</v>
      </c>
      <c r="E40" s="115"/>
      <c r="F40" s="213">
        <v>0</v>
      </c>
      <c r="G40" s="213">
        <v>0</v>
      </c>
      <c r="H40" s="213">
        <v>0</v>
      </c>
      <c r="I40" s="213">
        <v>0</v>
      </c>
      <c r="J40" s="213">
        <v>0</v>
      </c>
      <c r="K40" s="213">
        <v>0</v>
      </c>
      <c r="L40" s="213">
        <v>0</v>
      </c>
      <c r="M40" s="213">
        <v>0</v>
      </c>
      <c r="N40" s="213">
        <v>0</v>
      </c>
      <c r="O40" s="213">
        <v>0</v>
      </c>
      <c r="P40" s="213">
        <v>0</v>
      </c>
      <c r="Q40" s="213">
        <v>0</v>
      </c>
      <c r="R40" s="213">
        <v>0</v>
      </c>
      <c r="S40" s="213">
        <v>0</v>
      </c>
      <c r="T40" s="213">
        <v>0</v>
      </c>
      <c r="U40" s="213">
        <v>0</v>
      </c>
      <c r="V40" s="213">
        <v>0</v>
      </c>
      <c r="W40" s="213">
        <v>0</v>
      </c>
      <c r="X40" s="213">
        <v>0</v>
      </c>
      <c r="Y40" s="213">
        <v>0</v>
      </c>
      <c r="Z40" s="213">
        <v>0</v>
      </c>
      <c r="AA40" s="213">
        <v>0</v>
      </c>
      <c r="AB40" s="213">
        <v>0</v>
      </c>
      <c r="AC40" s="213">
        <v>0</v>
      </c>
    </row>
    <row r="41" spans="1:29" x14ac:dyDescent="0.3">
      <c r="A41" s="17" t="s">
        <v>38</v>
      </c>
      <c r="B41" s="201" t="s">
        <v>25</v>
      </c>
      <c r="C41" s="201" t="s">
        <v>26</v>
      </c>
      <c r="D41" s="201" t="s">
        <v>88</v>
      </c>
      <c r="E41" s="115"/>
      <c r="F41" s="213">
        <v>0</v>
      </c>
      <c r="G41" s="213">
        <v>0</v>
      </c>
      <c r="H41" s="213">
        <v>6.8327700000000002E-3</v>
      </c>
      <c r="I41" s="213">
        <v>0</v>
      </c>
      <c r="J41" s="213">
        <v>0</v>
      </c>
      <c r="K41" s="213">
        <v>6.85309E-3</v>
      </c>
      <c r="L41" s="213">
        <v>0</v>
      </c>
      <c r="M41" s="213">
        <v>0</v>
      </c>
      <c r="N41" s="213">
        <v>6.8734799999999995E-3</v>
      </c>
      <c r="O41" s="213">
        <v>0</v>
      </c>
      <c r="P41" s="213">
        <v>0</v>
      </c>
      <c r="Q41" s="213">
        <v>6.8939300000000004E-3</v>
      </c>
      <c r="R41" s="213">
        <v>0</v>
      </c>
      <c r="S41" s="213">
        <v>0</v>
      </c>
      <c r="T41" s="213">
        <v>6.91444E-3</v>
      </c>
      <c r="U41" s="213">
        <v>0</v>
      </c>
      <c r="V41" s="213">
        <v>0</v>
      </c>
      <c r="W41" s="213">
        <v>6.9350100000000001E-3</v>
      </c>
      <c r="X41" s="213">
        <v>0</v>
      </c>
      <c r="Y41" s="213">
        <v>0</v>
      </c>
      <c r="Z41" s="213">
        <v>6.9556399999999999E-3</v>
      </c>
      <c r="AA41" s="213">
        <v>0</v>
      </c>
      <c r="AB41" s="213">
        <v>0</v>
      </c>
      <c r="AC41" s="213">
        <v>6.9763300000000002E-3</v>
      </c>
    </row>
    <row r="42" spans="1:29" x14ac:dyDescent="0.3">
      <c r="A42" s="17" t="s">
        <v>38</v>
      </c>
      <c r="B42" s="201" t="s">
        <v>27</v>
      </c>
      <c r="C42" s="201" t="s">
        <v>28</v>
      </c>
      <c r="D42" s="201" t="s">
        <v>88</v>
      </c>
      <c r="E42" s="115"/>
      <c r="F42" s="213">
        <v>0</v>
      </c>
      <c r="G42" s="213">
        <v>0</v>
      </c>
      <c r="H42" s="213">
        <v>0</v>
      </c>
      <c r="I42" s="213">
        <v>0</v>
      </c>
      <c r="J42" s="213">
        <v>0</v>
      </c>
      <c r="K42" s="213">
        <v>0</v>
      </c>
      <c r="L42" s="213">
        <v>0</v>
      </c>
      <c r="M42" s="213">
        <v>0</v>
      </c>
      <c r="N42" s="213">
        <v>0</v>
      </c>
      <c r="O42" s="213">
        <v>0</v>
      </c>
      <c r="P42" s="213">
        <v>0</v>
      </c>
      <c r="Q42" s="213">
        <v>0</v>
      </c>
      <c r="R42" s="213">
        <v>0</v>
      </c>
      <c r="S42" s="213">
        <v>0</v>
      </c>
      <c r="T42" s="213">
        <v>0</v>
      </c>
      <c r="U42" s="213">
        <v>0</v>
      </c>
      <c r="V42" s="213">
        <v>0</v>
      </c>
      <c r="W42" s="213">
        <v>0</v>
      </c>
      <c r="X42" s="213">
        <v>0</v>
      </c>
      <c r="Y42" s="213">
        <v>0</v>
      </c>
      <c r="Z42" s="213">
        <v>0</v>
      </c>
      <c r="AA42" s="213">
        <v>0</v>
      </c>
      <c r="AB42" s="213">
        <v>0</v>
      </c>
      <c r="AC42" s="213">
        <v>0</v>
      </c>
    </row>
    <row r="43" spans="1:29" x14ac:dyDescent="0.3">
      <c r="A43" s="17" t="s">
        <v>38</v>
      </c>
      <c r="B43" s="201" t="s">
        <v>30</v>
      </c>
      <c r="C43" s="201" t="s">
        <v>31</v>
      </c>
      <c r="D43" s="201" t="s">
        <v>88</v>
      </c>
      <c r="E43" s="115"/>
      <c r="F43" s="213">
        <v>0</v>
      </c>
      <c r="G43" s="213">
        <v>0</v>
      </c>
      <c r="H43" s="213">
        <v>0.89227885142857055</v>
      </c>
      <c r="I43" s="213">
        <v>0</v>
      </c>
      <c r="J43" s="213">
        <v>0</v>
      </c>
      <c r="K43" s="213">
        <v>0</v>
      </c>
      <c r="L43" s="213">
        <v>0</v>
      </c>
      <c r="M43" s="213">
        <v>0</v>
      </c>
      <c r="N43" s="213">
        <v>0.89227885142857055</v>
      </c>
      <c r="O43" s="213">
        <v>0</v>
      </c>
      <c r="P43" s="213">
        <v>0</v>
      </c>
      <c r="Q43" s="213">
        <v>0</v>
      </c>
      <c r="R43" s="213">
        <v>0</v>
      </c>
      <c r="S43" s="213">
        <v>0</v>
      </c>
      <c r="T43" s="213">
        <v>0.89227885142857055</v>
      </c>
      <c r="U43" s="213">
        <v>0</v>
      </c>
      <c r="V43" s="213">
        <v>0</v>
      </c>
      <c r="W43" s="213">
        <v>0</v>
      </c>
      <c r="X43" s="213">
        <v>0</v>
      </c>
      <c r="Y43" s="213">
        <v>0</v>
      </c>
      <c r="Z43" s="213">
        <v>0.89227885142857055</v>
      </c>
      <c r="AA43" s="213">
        <v>0</v>
      </c>
      <c r="AB43" s="213">
        <v>0</v>
      </c>
      <c r="AC43" s="213">
        <v>0</v>
      </c>
    </row>
    <row r="44" spans="1:29" x14ac:dyDescent="0.3">
      <c r="A44" s="17"/>
      <c r="B44" s="201" t="s">
        <v>139</v>
      </c>
      <c r="C44" s="201" t="s">
        <v>140</v>
      </c>
      <c r="D44" s="201" t="s">
        <v>88</v>
      </c>
      <c r="E44" s="119"/>
      <c r="F44" s="213">
        <v>0</v>
      </c>
      <c r="G44" s="213">
        <v>0</v>
      </c>
      <c r="H44" s="213">
        <v>0</v>
      </c>
      <c r="I44" s="213">
        <v>0</v>
      </c>
      <c r="J44" s="213">
        <v>0</v>
      </c>
      <c r="K44" s="213">
        <v>0</v>
      </c>
      <c r="L44" s="213">
        <v>0</v>
      </c>
      <c r="M44" s="213">
        <v>0</v>
      </c>
      <c r="N44" s="213">
        <v>0</v>
      </c>
      <c r="O44" s="213">
        <v>0</v>
      </c>
      <c r="P44" s="213">
        <v>0</v>
      </c>
      <c r="Q44" s="213">
        <v>0</v>
      </c>
      <c r="R44" s="213">
        <v>4.6374241457047272E-2</v>
      </c>
      <c r="S44" s="213">
        <v>0</v>
      </c>
      <c r="T44" s="213">
        <v>0</v>
      </c>
      <c r="U44" s="213">
        <v>0</v>
      </c>
      <c r="V44" s="213">
        <v>0</v>
      </c>
      <c r="W44" s="213">
        <v>0</v>
      </c>
      <c r="X44" s="213">
        <v>4.6374241457047272E-2</v>
      </c>
      <c r="Y44" s="213">
        <v>0</v>
      </c>
      <c r="Z44" s="213">
        <v>0</v>
      </c>
      <c r="AA44" s="213">
        <v>0</v>
      </c>
      <c r="AB44" s="213">
        <v>0</v>
      </c>
      <c r="AC44" s="213">
        <v>0</v>
      </c>
    </row>
    <row r="45" spans="1:29" x14ac:dyDescent="0.3">
      <c r="A45" s="17"/>
      <c r="B45" s="215" t="s">
        <v>160</v>
      </c>
      <c r="C45" s="215" t="s">
        <v>161</v>
      </c>
      <c r="D45" s="215" t="s">
        <v>88</v>
      </c>
      <c r="E45" s="119"/>
      <c r="F45" s="213">
        <v>0</v>
      </c>
      <c r="G45" s="213">
        <v>0</v>
      </c>
      <c r="H45" s="213">
        <v>0</v>
      </c>
      <c r="I45" s="213">
        <v>0</v>
      </c>
      <c r="J45" s="213">
        <v>0.20005386819791166</v>
      </c>
      <c r="K45" s="213">
        <v>0</v>
      </c>
      <c r="L45" s="213">
        <v>0</v>
      </c>
      <c r="M45" s="213">
        <v>0</v>
      </c>
      <c r="N45" s="213">
        <v>0</v>
      </c>
      <c r="O45" s="213">
        <v>0</v>
      </c>
      <c r="P45" s="213">
        <v>0.20005386819791166</v>
      </c>
      <c r="Q45" s="213">
        <v>0</v>
      </c>
      <c r="R45" s="213">
        <v>0</v>
      </c>
      <c r="S45" s="213">
        <v>0</v>
      </c>
      <c r="T45" s="213">
        <v>0</v>
      </c>
      <c r="U45" s="213">
        <v>0</v>
      </c>
      <c r="V45" s="213">
        <v>0.20005386819791166</v>
      </c>
      <c r="W45" s="213">
        <v>0</v>
      </c>
      <c r="X45" s="213">
        <v>0</v>
      </c>
      <c r="Y45" s="213">
        <v>0</v>
      </c>
      <c r="Z45" s="213">
        <v>0</v>
      </c>
      <c r="AA45" s="213">
        <v>0</v>
      </c>
      <c r="AB45" s="213">
        <v>0.20005386819791166</v>
      </c>
      <c r="AC45" s="213">
        <v>0</v>
      </c>
    </row>
    <row r="46" spans="1:29" x14ac:dyDescent="0.3">
      <c r="A46" s="17" t="s">
        <v>38</v>
      </c>
      <c r="B46" s="201" t="s">
        <v>120</v>
      </c>
      <c r="C46" s="201" t="s">
        <v>119</v>
      </c>
      <c r="D46" s="201" t="s">
        <v>89</v>
      </c>
      <c r="E46" s="115"/>
      <c r="F46" s="213">
        <v>0</v>
      </c>
      <c r="G46" s="213">
        <v>0</v>
      </c>
      <c r="H46" s="213">
        <v>39.847769230769231</v>
      </c>
      <c r="I46" s="213">
        <v>0</v>
      </c>
      <c r="J46" s="213">
        <v>0</v>
      </c>
      <c r="K46" s="213">
        <v>0</v>
      </c>
      <c r="L46" s="213">
        <v>0</v>
      </c>
      <c r="M46" s="213">
        <v>0</v>
      </c>
      <c r="N46" s="213">
        <v>39.847769230769231</v>
      </c>
      <c r="O46" s="213">
        <v>0</v>
      </c>
      <c r="P46" s="213">
        <v>0</v>
      </c>
      <c r="Q46" s="213">
        <v>0</v>
      </c>
      <c r="R46" s="213">
        <v>0</v>
      </c>
      <c r="S46" s="213">
        <v>0</v>
      </c>
      <c r="T46" s="213">
        <v>39.847769230769231</v>
      </c>
      <c r="U46" s="213">
        <v>0</v>
      </c>
      <c r="V46" s="213">
        <v>0</v>
      </c>
      <c r="W46" s="213">
        <v>0</v>
      </c>
      <c r="X46" s="213">
        <v>0</v>
      </c>
      <c r="Y46" s="213">
        <v>0</v>
      </c>
      <c r="Z46" s="213">
        <v>39.847769230769231</v>
      </c>
      <c r="AA46" s="213">
        <v>0</v>
      </c>
      <c r="AB46" s="213">
        <v>0</v>
      </c>
      <c r="AC46" s="213">
        <v>0</v>
      </c>
    </row>
    <row r="47" spans="1:29" customFormat="1" ht="6.75" customHeight="1" x14ac:dyDescent="0.25">
      <c r="B47" s="120"/>
      <c r="C47" s="4"/>
      <c r="D47" s="4"/>
      <c r="E47" s="116"/>
      <c r="F47" s="117"/>
      <c r="G47" s="117"/>
      <c r="H47" s="117"/>
      <c r="I47" s="117"/>
      <c r="R47" s="117"/>
      <c r="S47" s="117"/>
      <c r="T47" s="117"/>
      <c r="U47" s="117"/>
    </row>
    <row r="48" spans="1:29" ht="28.5" customHeight="1" x14ac:dyDescent="0.3">
      <c r="B48" s="318" t="s">
        <v>115</v>
      </c>
      <c r="C48" s="318"/>
      <c r="D48" s="318"/>
      <c r="E48" s="121"/>
      <c r="F48" s="180">
        <f t="shared" ref="F48:Q48" si="34">+SUM(F32:F46)</f>
        <v>0</v>
      </c>
      <c r="G48" s="180">
        <f t="shared" si="34"/>
        <v>3.7059952357142851</v>
      </c>
      <c r="H48" s="180">
        <f t="shared" si="34"/>
        <v>40.746880852197805</v>
      </c>
      <c r="I48" s="180">
        <f t="shared" si="34"/>
        <v>1.8285654399999989</v>
      </c>
      <c r="J48" s="180">
        <f t="shared" si="34"/>
        <v>1.2582623981979115</v>
      </c>
      <c r="K48" s="180">
        <f t="shared" si="34"/>
        <v>1.432619137166443</v>
      </c>
      <c r="L48" s="180">
        <f t="shared" si="34"/>
        <v>0</v>
      </c>
      <c r="M48" s="180">
        <f t="shared" si="34"/>
        <v>3.7059952362364728</v>
      </c>
      <c r="N48" s="180">
        <f t="shared" si="34"/>
        <v>40.746921562197798</v>
      </c>
      <c r="O48" s="180">
        <f t="shared" si="34"/>
        <v>1.8285654432808101</v>
      </c>
      <c r="P48" s="180">
        <f t="shared" si="34"/>
        <v>1.2582624095628236</v>
      </c>
      <c r="Q48" s="180">
        <f t="shared" si="34"/>
        <v>1.432659977166443</v>
      </c>
      <c r="R48" s="180">
        <f t="shared" ref="R48:AC48" si="35">+SUM(R32:R46)</f>
        <v>0.25697701648756177</v>
      </c>
      <c r="S48" s="180">
        <f t="shared" si="35"/>
        <v>1.2705903105221876</v>
      </c>
      <c r="T48" s="180">
        <f t="shared" si="35"/>
        <v>40.746962522197805</v>
      </c>
      <c r="U48" s="180">
        <f t="shared" si="35"/>
        <v>1.8285654432808101</v>
      </c>
      <c r="V48" s="180">
        <f t="shared" si="35"/>
        <v>1.2582624095628236</v>
      </c>
      <c r="W48" s="180">
        <f t="shared" si="35"/>
        <v>1.4327010571664431</v>
      </c>
      <c r="X48" s="180">
        <f t="shared" si="35"/>
        <v>0.25697701648756177</v>
      </c>
      <c r="Y48" s="180">
        <f t="shared" si="35"/>
        <v>1.2705903105221876</v>
      </c>
      <c r="Z48" s="180">
        <f t="shared" si="35"/>
        <v>40.747003722197803</v>
      </c>
      <c r="AA48" s="180">
        <f t="shared" si="35"/>
        <v>1.8285654432808101</v>
      </c>
      <c r="AB48" s="180">
        <f t="shared" si="35"/>
        <v>1.2582624095628236</v>
      </c>
      <c r="AC48" s="180">
        <f t="shared" si="35"/>
        <v>1.4327423771664431</v>
      </c>
    </row>
    <row r="49" spans="2:29" x14ac:dyDescent="0.3">
      <c r="B49" s="4"/>
      <c r="C49" s="4"/>
      <c r="D49" s="4"/>
      <c r="E49" s="115"/>
    </row>
    <row r="50" spans="2:29" x14ac:dyDescent="0.3">
      <c r="B50" s="4"/>
      <c r="C50" s="4"/>
      <c r="D50" s="4"/>
      <c r="E50" s="115"/>
    </row>
    <row r="51" spans="2:29" x14ac:dyDescent="0.3">
      <c r="B51" s="4"/>
      <c r="C51" s="4"/>
      <c r="D51" s="4"/>
    </row>
    <row r="52" spans="2:29" x14ac:dyDescent="0.3">
      <c r="K52" s="113"/>
      <c r="N52" s="113"/>
      <c r="Q52" s="113"/>
      <c r="W52" s="113"/>
      <c r="Z52" s="113"/>
      <c r="AC52" s="113"/>
    </row>
  </sheetData>
  <mergeCells count="13">
    <mergeCell ref="B48:D48"/>
    <mergeCell ref="B22:D22"/>
    <mergeCell ref="B30:B31"/>
    <mergeCell ref="C30:C31"/>
    <mergeCell ref="B23:D24"/>
    <mergeCell ref="B1:E1"/>
    <mergeCell ref="D5:D6"/>
    <mergeCell ref="D30:D31"/>
    <mergeCell ref="B4:D4"/>
    <mergeCell ref="B29:D29"/>
    <mergeCell ref="B5:B6"/>
    <mergeCell ref="C5:C6"/>
    <mergeCell ref="B25:D26"/>
  </mergeCells>
  <hyperlinks>
    <hyperlink ref="C7" location="IPVO26!A1" display="IPVO26" xr:uid="{00000000-0004-0000-0200-000000000000}"/>
    <hyperlink ref="C11" location="'PMG25'!A1" display="PMG25" xr:uid="{00000000-0004-0000-0200-000001000000}"/>
    <hyperlink ref="C33" location="BIDF40!A1" display="BIDF40" xr:uid="{00000000-0004-0000-0200-000002000000}"/>
    <hyperlink ref="C40" location="BIDO24!A1" display="BIDO24" xr:uid="{00000000-0004-0000-0200-000003000000}"/>
    <hyperlink ref="C37" location="BIDN32!A1" display="BIDN32" xr:uid="{00000000-0004-0000-0200-000004000000}"/>
    <hyperlink ref="C41" location="BIDS34!A1" display="BIDS34" xr:uid="{00000000-0004-0000-0200-000005000000}"/>
    <hyperlink ref="C42" location="BIDS23!A1" display="BIDS23" xr:uid="{00000000-0004-0000-0200-000006000000}"/>
    <hyperlink ref="C36" location="BIDY42!A1" display="BIDY42" xr:uid="{00000000-0004-0000-0200-000007000000}"/>
    <hyperlink ref="C43" location="BIRS38!A1" display="BIRS38" xr:uid="{00000000-0004-0000-0200-000008000000}"/>
    <hyperlink ref="C14" location="FFFIRF26!A1" display="FFFIRF26" xr:uid="{00000000-0004-0000-0200-000009000000}"/>
    <hyperlink ref="C15" location="FFFIRE26!A1" display="FFFIRE26" xr:uid="{00000000-0004-0000-0200-00000A000000}"/>
    <hyperlink ref="C10" location="'PMY25'!A1" display="PMY25" xr:uid="{00000000-0004-0000-0200-00000B000000}"/>
    <hyperlink ref="C19" location="'TAMAR 1'!A1" display="TAMAR 1" xr:uid="{00000000-0004-0000-0200-00000C000000}"/>
    <hyperlink ref="C20" location="'TAMAR 2'!A1" display="'TAMAR 2'!A1" xr:uid="{00000000-0004-0000-0200-00000D000000}"/>
  </hyperlink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6"/>
  <sheetViews>
    <sheetView showGridLines="0" workbookViewId="0"/>
  </sheetViews>
  <sheetFormatPr baseColWidth="10" defaultRowHeight="15" x14ac:dyDescent="0.25"/>
  <sheetData>
    <row r="1" spans="1:13" ht="21" x14ac:dyDescent="0.35">
      <c r="A1" s="155" t="s">
        <v>208</v>
      </c>
    </row>
    <row r="2" spans="1:13" ht="21" x14ac:dyDescent="0.35">
      <c r="A2" s="155"/>
    </row>
    <row r="3" spans="1:13" ht="18" x14ac:dyDescent="0.25">
      <c r="A3" s="270" t="s">
        <v>209</v>
      </c>
      <c r="B3" s="271"/>
      <c r="C3" s="271"/>
      <c r="D3" s="271"/>
      <c r="E3" s="271"/>
      <c r="F3" s="271"/>
      <c r="I3" s="270" t="s">
        <v>210</v>
      </c>
      <c r="J3" s="271"/>
      <c r="K3" s="271"/>
      <c r="L3" s="271"/>
      <c r="M3" s="271"/>
    </row>
    <row r="4" spans="1:13" ht="15.75" x14ac:dyDescent="0.25">
      <c r="A4" s="194" t="s">
        <v>211</v>
      </c>
      <c r="I4" s="194" t="s">
        <v>212</v>
      </c>
    </row>
    <row r="24" spans="1:14" ht="18" x14ac:dyDescent="0.25">
      <c r="A24" s="270" t="s">
        <v>213</v>
      </c>
      <c r="B24" s="271"/>
      <c r="C24" s="271"/>
      <c r="D24" s="271"/>
      <c r="E24" s="271"/>
      <c r="F24" s="271"/>
      <c r="I24" s="270" t="s">
        <v>214</v>
      </c>
      <c r="J24" s="271"/>
      <c r="K24" s="271"/>
      <c r="L24" s="271"/>
      <c r="M24" s="271"/>
      <c r="N24" s="271"/>
    </row>
    <row r="25" spans="1:14" ht="15.75" x14ac:dyDescent="0.25">
      <c r="A25" s="194" t="s">
        <v>216</v>
      </c>
      <c r="I25" s="194" t="s">
        <v>215</v>
      </c>
    </row>
    <row r="44" spans="1:9" ht="18" x14ac:dyDescent="0.25">
      <c r="A44" s="156" t="s">
        <v>220</v>
      </c>
      <c r="I44" s="156" t="s">
        <v>217</v>
      </c>
    </row>
    <row r="45" spans="1:9" ht="15.75" x14ac:dyDescent="0.25">
      <c r="A45" s="194" t="s">
        <v>219</v>
      </c>
      <c r="I45" s="194" t="s">
        <v>218</v>
      </c>
    </row>
    <row r="65" spans="1:9" ht="18" x14ac:dyDescent="0.25">
      <c r="A65" s="156" t="s">
        <v>221</v>
      </c>
      <c r="I65" s="156" t="s">
        <v>222</v>
      </c>
    </row>
    <row r="66" spans="1:9" ht="15.75" x14ac:dyDescent="0.25">
      <c r="A66" s="194" t="s">
        <v>216</v>
      </c>
      <c r="I66" s="194" t="s">
        <v>215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K6:K64"/>
  <sheetViews>
    <sheetView showGridLines="0" workbookViewId="0">
      <selection activeCell="R21" sqref="R21"/>
    </sheetView>
  </sheetViews>
  <sheetFormatPr baseColWidth="10" defaultRowHeight="15" x14ac:dyDescent="0.25"/>
  <sheetData>
    <row r="6" spans="11:11" x14ac:dyDescent="0.25">
      <c r="K6" s="53">
        <v>1</v>
      </c>
    </row>
    <row r="25" spans="11:11" x14ac:dyDescent="0.25">
      <c r="K25" s="53">
        <v>1</v>
      </c>
    </row>
    <row r="44" spans="11:11" x14ac:dyDescent="0.25">
      <c r="K44" s="53">
        <v>2</v>
      </c>
    </row>
    <row r="64" spans="11:11" x14ac:dyDescent="0.25">
      <c r="K64" s="53">
        <v>2</v>
      </c>
    </row>
  </sheetData>
  <pageMargins left="0.7" right="0.7" top="0.75" bottom="0.75" header="0.3" footer="0.3"/>
  <drawing r:id="rId1"/>
  <legacyDrawing r:id="rId2"/>
  <picture r:id="rId3"/>
  <mc:AlternateContent xmlns:mc="http://schemas.openxmlformats.org/markup-compatibility/2006">
    <mc:Choice Requires="x14">
      <controls>
        <mc:AlternateContent xmlns:mc="http://schemas.openxmlformats.org/markup-compatibility/2006">
          <mc:Choice Requires="x14">
            <control shapeId="12289" r:id="rId4" name="Drop Down 1">
              <controlPr defaultSize="0" autoLine="0" autoPict="0">
                <anchor moveWithCells="1">
                  <from>
                    <xdr:col>1</xdr:col>
                    <xdr:colOff>752475</xdr:colOff>
                    <xdr:row>4</xdr:row>
                    <xdr:rowOff>9525</xdr:rowOff>
                  </from>
                  <to>
                    <xdr:col>5</xdr:col>
                    <xdr:colOff>581025</xdr:colOff>
                    <xdr:row>5</xdr:row>
                    <xdr:rowOff>180975</xdr:rowOff>
                  </to>
                </anchor>
              </controlPr>
            </control>
          </mc:Choice>
        </mc:AlternateContent>
        <mc:AlternateContent xmlns:mc="http://schemas.openxmlformats.org/markup-compatibility/2006">
          <mc:Choice Requires="x14">
            <control shapeId="12291" r:id="rId5" name="Drop Down 3">
              <controlPr defaultSize="0" autoLine="0" autoPict="0">
                <anchor moveWithCells="1">
                  <from>
                    <xdr:col>1</xdr:col>
                    <xdr:colOff>752475</xdr:colOff>
                    <xdr:row>23</xdr:row>
                    <xdr:rowOff>19050</xdr:rowOff>
                  </from>
                  <to>
                    <xdr:col>5</xdr:col>
                    <xdr:colOff>581025</xdr:colOff>
                    <xdr:row>24</xdr:row>
                    <xdr:rowOff>190500</xdr:rowOff>
                  </to>
                </anchor>
              </controlPr>
            </control>
          </mc:Choice>
        </mc:AlternateContent>
        <mc:AlternateContent xmlns:mc="http://schemas.openxmlformats.org/markup-compatibility/2006">
          <mc:Choice Requires="x14">
            <control shapeId="12295" r:id="rId6" name="Drop Down 7">
              <controlPr defaultSize="0" autoLine="0" autoPict="0">
                <anchor moveWithCells="1">
                  <from>
                    <xdr:col>1</xdr:col>
                    <xdr:colOff>752475</xdr:colOff>
                    <xdr:row>41</xdr:row>
                    <xdr:rowOff>114300</xdr:rowOff>
                  </from>
                  <to>
                    <xdr:col>5</xdr:col>
                    <xdr:colOff>581025</xdr:colOff>
                    <xdr:row>43</xdr:row>
                    <xdr:rowOff>95250</xdr:rowOff>
                  </to>
                </anchor>
              </controlPr>
            </control>
          </mc:Choice>
        </mc:AlternateContent>
        <mc:AlternateContent xmlns:mc="http://schemas.openxmlformats.org/markup-compatibility/2006">
          <mc:Choice Requires="x14">
            <control shapeId="12301" r:id="rId7" name="Drop Down 13">
              <controlPr defaultSize="0" autoLine="0" autoPict="0">
                <anchor moveWithCells="1">
                  <from>
                    <xdr:col>1</xdr:col>
                    <xdr:colOff>647700</xdr:colOff>
                    <xdr:row>61</xdr:row>
                    <xdr:rowOff>38100</xdr:rowOff>
                  </from>
                  <to>
                    <xdr:col>5</xdr:col>
                    <xdr:colOff>476250</xdr:colOff>
                    <xdr:row>63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
  <sheetViews>
    <sheetView showGridLines="0" zoomScale="85" zoomScaleNormal="85" workbookViewId="0">
      <pane xSplit="2" ySplit="2" topLeftCell="C3" activePane="bottomRight" state="frozen"/>
      <selection activeCell="F1" sqref="F1"/>
      <selection pane="topRight" activeCell="F1" sqref="F1"/>
      <selection pane="bottomLeft" activeCell="F1" sqref="F1"/>
      <selection pane="bottomRight"/>
    </sheetView>
  </sheetViews>
  <sheetFormatPr baseColWidth="10" defaultRowHeight="15" x14ac:dyDescent="0.25"/>
  <cols>
    <col min="1" max="1" width="20.85546875" customWidth="1"/>
    <col min="2" max="2" width="49.85546875" customWidth="1"/>
    <col min="3" max="6" width="19.5703125" customWidth="1"/>
    <col min="8" max="8" width="16.7109375" bestFit="1" customWidth="1"/>
    <col min="9" max="9" width="15.5703125" bestFit="1" customWidth="1"/>
    <col min="15" max="15" width="23.42578125" customWidth="1"/>
  </cols>
  <sheetData>
    <row r="1" spans="1:18" ht="24.75" customHeight="1" x14ac:dyDescent="0.25">
      <c r="A1" s="10"/>
      <c r="B1" s="56"/>
      <c r="C1" s="188">
        <v>2025</v>
      </c>
      <c r="D1" s="188"/>
      <c r="E1" s="224"/>
      <c r="F1" s="224"/>
      <c r="G1" s="10"/>
      <c r="H1" s="33"/>
      <c r="I1" s="31"/>
      <c r="J1" s="10"/>
      <c r="K1" s="10"/>
      <c r="L1" s="10"/>
      <c r="M1" s="10"/>
      <c r="N1" s="10"/>
    </row>
    <row r="2" spans="1:18" ht="21" customHeight="1" x14ac:dyDescent="0.25">
      <c r="A2" s="10"/>
      <c r="B2" s="10"/>
      <c r="C2" s="160" t="s">
        <v>56</v>
      </c>
      <c r="D2" s="160"/>
      <c r="E2" s="225"/>
      <c r="F2" s="225"/>
      <c r="G2" s="10"/>
      <c r="H2" s="33"/>
      <c r="I2" s="33"/>
      <c r="J2" s="10"/>
      <c r="K2" s="10"/>
      <c r="L2" s="10"/>
      <c r="M2" s="10"/>
      <c r="N2" s="10"/>
    </row>
    <row r="3" spans="1:18" ht="57" customHeight="1" x14ac:dyDescent="0.25">
      <c r="A3" s="319" t="s">
        <v>57</v>
      </c>
      <c r="B3" s="160" t="s">
        <v>58</v>
      </c>
      <c r="C3" s="69">
        <v>180198.5213251872</v>
      </c>
      <c r="D3" s="69"/>
      <c r="E3" s="69"/>
      <c r="F3" s="69"/>
      <c r="G3" s="320" t="s">
        <v>123</v>
      </c>
      <c r="H3" s="320"/>
      <c r="I3" s="320"/>
      <c r="J3" s="320"/>
      <c r="K3" s="320"/>
      <c r="L3" s="320"/>
      <c r="M3" s="320"/>
      <c r="N3" s="320"/>
      <c r="O3" s="32"/>
      <c r="P3" s="32"/>
      <c r="Q3" s="32"/>
      <c r="R3" s="32"/>
    </row>
    <row r="4" spans="1:18" ht="57" customHeight="1" x14ac:dyDescent="0.25">
      <c r="A4" s="319"/>
      <c r="B4" s="160" t="s">
        <v>59</v>
      </c>
      <c r="C4" s="69">
        <v>3068550.81478965</v>
      </c>
      <c r="D4" s="69"/>
      <c r="E4" s="69"/>
      <c r="F4" s="69"/>
      <c r="G4" s="320"/>
      <c r="H4" s="320"/>
      <c r="I4" s="320"/>
      <c r="J4" s="320"/>
      <c r="K4" s="320"/>
      <c r="L4" s="320"/>
      <c r="M4" s="320"/>
      <c r="N4" s="320"/>
      <c r="O4" s="32"/>
      <c r="P4" s="32"/>
      <c r="Q4" s="32"/>
      <c r="R4" s="32"/>
    </row>
    <row r="5" spans="1:18" ht="57" customHeight="1" x14ac:dyDescent="0.25">
      <c r="A5" s="319"/>
      <c r="B5" s="160" t="s">
        <v>60</v>
      </c>
      <c r="C5" s="70">
        <f>+C3/C4</f>
        <v>5.8724307401616181E-2</v>
      </c>
      <c r="D5" s="70"/>
      <c r="E5" s="70"/>
      <c r="F5" s="70"/>
      <c r="G5" s="320"/>
      <c r="H5" s="320"/>
      <c r="I5" s="320"/>
      <c r="J5" s="320"/>
      <c r="K5" s="320"/>
      <c r="L5" s="320"/>
      <c r="M5" s="320"/>
      <c r="N5" s="320"/>
      <c r="O5" s="32"/>
      <c r="P5" s="32"/>
      <c r="Q5" s="32"/>
      <c r="R5" s="32"/>
    </row>
    <row r="6" spans="1:18" ht="57" customHeight="1" x14ac:dyDescent="0.25">
      <c r="A6" s="319" t="s">
        <v>61</v>
      </c>
      <c r="B6" s="160" t="s">
        <v>62</v>
      </c>
      <c r="C6" s="69">
        <v>108075.28433099933</v>
      </c>
      <c r="D6" s="69"/>
      <c r="E6" s="69"/>
      <c r="F6" s="69"/>
      <c r="G6" s="320" t="s">
        <v>131</v>
      </c>
      <c r="H6" s="320"/>
      <c r="I6" s="320"/>
      <c r="J6" s="320"/>
      <c r="K6" s="320"/>
      <c r="L6" s="320"/>
      <c r="M6" s="320"/>
      <c r="N6" s="320"/>
      <c r="O6" s="32"/>
      <c r="P6" s="32"/>
      <c r="Q6" s="32"/>
      <c r="R6" s="32"/>
    </row>
    <row r="7" spans="1:18" ht="57" customHeight="1" x14ac:dyDescent="0.25">
      <c r="A7" s="319"/>
      <c r="B7" s="160" t="s">
        <v>63</v>
      </c>
      <c r="C7" s="69">
        <v>1750713.6919474802</v>
      </c>
      <c r="D7" s="69"/>
      <c r="E7" s="69"/>
      <c r="F7" s="69"/>
      <c r="G7" s="320"/>
      <c r="H7" s="320"/>
      <c r="I7" s="320"/>
      <c r="J7" s="320"/>
      <c r="K7" s="320"/>
      <c r="L7" s="320"/>
      <c r="M7" s="320"/>
      <c r="N7" s="320"/>
      <c r="O7" s="32"/>
      <c r="P7" s="32"/>
      <c r="Q7" s="32"/>
      <c r="R7" s="32"/>
    </row>
    <row r="8" spans="1:18" ht="57" customHeight="1" x14ac:dyDescent="0.25">
      <c r="A8" s="319"/>
      <c r="B8" s="160" t="s">
        <v>64</v>
      </c>
      <c r="C8" s="70">
        <f>+C6/C7</f>
        <v>6.17321294898752E-2</v>
      </c>
      <c r="D8" s="70"/>
      <c r="E8" s="70"/>
      <c r="F8" s="70"/>
      <c r="G8" s="320"/>
      <c r="H8" s="320"/>
      <c r="I8" s="320"/>
      <c r="J8" s="320"/>
      <c r="K8" s="320"/>
      <c r="L8" s="320"/>
      <c r="M8" s="320"/>
      <c r="N8" s="320"/>
      <c r="O8" s="32"/>
      <c r="P8" s="32"/>
      <c r="Q8" s="32"/>
      <c r="R8" s="32"/>
    </row>
    <row r="9" spans="1:18" ht="57" customHeight="1" x14ac:dyDescent="0.25">
      <c r="A9" s="319"/>
      <c r="B9" s="160" t="s">
        <v>65</v>
      </c>
      <c r="C9" s="69">
        <v>43305.38903389706</v>
      </c>
      <c r="D9" s="69"/>
      <c r="E9" s="69"/>
      <c r="F9" s="69"/>
      <c r="G9" s="320" t="s">
        <v>132</v>
      </c>
      <c r="H9" s="320"/>
      <c r="I9" s="320"/>
      <c r="J9" s="320"/>
      <c r="K9" s="320"/>
      <c r="L9" s="320"/>
      <c r="M9" s="320"/>
      <c r="N9" s="320"/>
      <c r="O9" s="32"/>
      <c r="P9" s="32"/>
      <c r="Q9" s="32"/>
      <c r="R9" s="32"/>
    </row>
    <row r="10" spans="1:18" ht="57" customHeight="1" x14ac:dyDescent="0.25">
      <c r="A10" s="319"/>
      <c r="B10" s="160" t="s">
        <v>66</v>
      </c>
      <c r="C10" s="69">
        <v>3625806.40871371</v>
      </c>
      <c r="D10" s="69"/>
      <c r="E10" s="69"/>
      <c r="F10" s="69"/>
      <c r="G10" s="320"/>
      <c r="H10" s="320"/>
      <c r="I10" s="320"/>
      <c r="J10" s="320"/>
      <c r="K10" s="320"/>
      <c r="L10" s="320"/>
      <c r="M10" s="320"/>
      <c r="N10" s="320"/>
      <c r="O10" s="32"/>
      <c r="P10" s="32"/>
      <c r="Q10" s="32"/>
      <c r="R10" s="32"/>
    </row>
    <row r="11" spans="1:18" ht="57" customHeight="1" x14ac:dyDescent="0.25">
      <c r="A11" s="319"/>
      <c r="B11" s="160" t="s">
        <v>67</v>
      </c>
      <c r="C11" s="70">
        <f>+C9/C10</f>
        <v>1.1943657259202668E-2</v>
      </c>
      <c r="D11" s="70"/>
      <c r="E11" s="70"/>
      <c r="F11" s="70"/>
      <c r="G11" s="320"/>
      <c r="H11" s="320"/>
      <c r="I11" s="320"/>
      <c r="J11" s="320"/>
      <c r="K11" s="320"/>
      <c r="L11" s="320"/>
      <c r="M11" s="320"/>
      <c r="N11" s="320"/>
      <c r="O11" s="32"/>
      <c r="P11" s="32"/>
      <c r="Q11" s="32"/>
      <c r="R11" s="32"/>
    </row>
    <row r="12" spans="1:18" ht="57" customHeight="1" x14ac:dyDescent="0.25">
      <c r="A12" s="319"/>
      <c r="B12" s="160" t="s">
        <v>68</v>
      </c>
      <c r="C12" s="69">
        <v>37.762428759999999</v>
      </c>
      <c r="D12" s="69"/>
      <c r="E12" s="69"/>
      <c r="F12" s="69"/>
      <c r="G12" s="320" t="s">
        <v>133</v>
      </c>
      <c r="H12" s="320"/>
      <c r="I12" s="320"/>
      <c r="J12" s="320"/>
      <c r="K12" s="320"/>
      <c r="L12" s="320"/>
      <c r="M12" s="320"/>
      <c r="N12" s="320"/>
      <c r="O12" s="32"/>
      <c r="P12" s="32"/>
      <c r="Q12" s="32"/>
      <c r="R12" s="32"/>
    </row>
    <row r="13" spans="1:18" ht="57" customHeight="1" x14ac:dyDescent="0.25">
      <c r="A13" s="319"/>
      <c r="B13" s="160" t="s">
        <v>69</v>
      </c>
      <c r="C13" s="69">
        <v>3625806.40871371</v>
      </c>
      <c r="D13" s="69"/>
      <c r="E13" s="69"/>
      <c r="F13" s="69"/>
      <c r="G13" s="320"/>
      <c r="H13" s="320"/>
      <c r="I13" s="320"/>
      <c r="J13" s="320"/>
      <c r="K13" s="320"/>
      <c r="L13" s="320"/>
      <c r="M13" s="320"/>
      <c r="N13" s="320"/>
      <c r="O13" s="32"/>
      <c r="P13" s="32"/>
      <c r="Q13" s="32"/>
      <c r="R13" s="32"/>
    </row>
    <row r="14" spans="1:18" ht="57" customHeight="1" x14ac:dyDescent="0.25">
      <c r="A14" s="319"/>
      <c r="B14" s="160" t="s">
        <v>70</v>
      </c>
      <c r="C14" s="195">
        <f>+C12/C13</f>
        <v>1.0414904852406775E-5</v>
      </c>
      <c r="D14" s="195"/>
      <c r="E14" s="195"/>
      <c r="F14" s="195"/>
      <c r="G14" s="320"/>
      <c r="H14" s="320"/>
      <c r="I14" s="320"/>
      <c r="J14" s="320"/>
      <c r="K14" s="320"/>
      <c r="L14" s="320"/>
      <c r="M14" s="320"/>
      <c r="N14" s="320"/>
      <c r="O14" s="32"/>
      <c r="P14" s="32"/>
      <c r="Q14" s="32"/>
      <c r="R14" s="32"/>
    </row>
    <row r="15" spans="1:18" ht="57" customHeight="1" x14ac:dyDescent="0.25">
      <c r="A15" s="319"/>
      <c r="B15" s="160" t="s">
        <v>71</v>
      </c>
      <c r="C15" s="69">
        <v>77089.516471469426</v>
      </c>
      <c r="D15" s="69"/>
      <c r="E15" s="69"/>
      <c r="F15" s="69"/>
      <c r="G15" s="320" t="s">
        <v>134</v>
      </c>
      <c r="H15" s="320"/>
      <c r="I15" s="320"/>
      <c r="J15" s="320"/>
      <c r="K15" s="320"/>
      <c r="L15" s="320"/>
      <c r="M15" s="320"/>
      <c r="N15" s="320"/>
      <c r="O15" s="32"/>
      <c r="P15" s="32"/>
      <c r="Q15" s="32"/>
      <c r="R15" s="32"/>
    </row>
    <row r="16" spans="1:18" ht="57" customHeight="1" x14ac:dyDescent="0.25">
      <c r="A16" s="319"/>
      <c r="B16" s="160" t="s">
        <v>72</v>
      </c>
      <c r="C16" s="69">
        <v>1635095.3629868701</v>
      </c>
      <c r="D16" s="69"/>
      <c r="E16" s="69"/>
      <c r="F16" s="69"/>
      <c r="G16" s="320"/>
      <c r="H16" s="320"/>
      <c r="I16" s="320"/>
      <c r="J16" s="320"/>
      <c r="K16" s="320"/>
      <c r="L16" s="320"/>
      <c r="M16" s="320"/>
      <c r="N16" s="320"/>
      <c r="O16" s="32"/>
      <c r="P16" s="32"/>
      <c r="Q16" s="32"/>
      <c r="R16" s="32"/>
    </row>
    <row r="17" spans="1:18" ht="57" customHeight="1" x14ac:dyDescent="0.25">
      <c r="A17" s="319"/>
      <c r="B17" s="160" t="s">
        <v>73</v>
      </c>
      <c r="C17" s="70">
        <f>+C15/C16</f>
        <v>4.7146801475021038E-2</v>
      </c>
      <c r="D17" s="70"/>
      <c r="E17" s="70"/>
      <c r="F17" s="70"/>
      <c r="G17" s="320"/>
      <c r="H17" s="320"/>
      <c r="I17" s="320"/>
      <c r="J17" s="320"/>
      <c r="K17" s="320"/>
      <c r="L17" s="320"/>
      <c r="M17" s="320"/>
      <c r="N17" s="320"/>
      <c r="O17" s="32"/>
      <c r="P17" s="32"/>
      <c r="Q17" s="32"/>
      <c r="R17" s="32"/>
    </row>
  </sheetData>
  <mergeCells count="7">
    <mergeCell ref="A3:A5"/>
    <mergeCell ref="G3:N5"/>
    <mergeCell ref="A6:A17"/>
    <mergeCell ref="G6:N8"/>
    <mergeCell ref="G9:N11"/>
    <mergeCell ref="G12:N14"/>
    <mergeCell ref="G15:N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U9"/>
  <sheetViews>
    <sheetView showGridLines="0" workbookViewId="0"/>
  </sheetViews>
  <sheetFormatPr baseColWidth="10" defaultRowHeight="15" x14ac:dyDescent="0.25"/>
  <cols>
    <col min="1" max="1" width="4.5703125" customWidth="1"/>
    <col min="2" max="2" width="39.85546875" customWidth="1"/>
    <col min="3" max="3" width="11.28515625" customWidth="1"/>
    <col min="4" max="4" width="9.85546875" customWidth="1"/>
    <col min="5" max="5" width="11" customWidth="1"/>
    <col min="6" max="6" width="13.42578125" customWidth="1"/>
    <col min="7" max="9" width="12.42578125" customWidth="1"/>
    <col min="10" max="10" width="6.28515625" customWidth="1"/>
    <col min="11" max="11" width="6.42578125" customWidth="1"/>
    <col min="12" max="12" width="6.85546875" customWidth="1"/>
    <col min="13" max="13" width="9.28515625" customWidth="1"/>
    <col min="14" max="14" width="11.28515625" customWidth="1"/>
    <col min="259" max="259" width="39.85546875" customWidth="1"/>
    <col min="260" max="260" width="11.28515625" customWidth="1"/>
    <col min="261" max="261" width="9.85546875" customWidth="1"/>
    <col min="262" max="262" width="11" customWidth="1"/>
    <col min="263" max="263" width="13.42578125" customWidth="1"/>
    <col min="264" max="265" width="12.42578125" customWidth="1"/>
    <col min="266" max="266" width="6.28515625" customWidth="1"/>
    <col min="267" max="267" width="6.42578125" customWidth="1"/>
    <col min="268" max="268" width="6.85546875" customWidth="1"/>
    <col min="269" max="269" width="9.28515625" customWidth="1"/>
    <col min="270" max="270" width="11.28515625" customWidth="1"/>
    <col min="515" max="515" width="39.85546875" customWidth="1"/>
    <col min="516" max="516" width="11.28515625" customWidth="1"/>
    <col min="517" max="517" width="9.85546875" customWidth="1"/>
    <col min="518" max="518" width="11" customWidth="1"/>
    <col min="519" max="519" width="13.42578125" customWidth="1"/>
    <col min="520" max="521" width="12.42578125" customWidth="1"/>
    <col min="522" max="522" width="6.28515625" customWidth="1"/>
    <col min="523" max="523" width="6.42578125" customWidth="1"/>
    <col min="524" max="524" width="6.85546875" customWidth="1"/>
    <col min="525" max="525" width="9.28515625" customWidth="1"/>
    <col min="526" max="526" width="11.28515625" customWidth="1"/>
    <col min="771" max="771" width="39.85546875" customWidth="1"/>
    <col min="772" max="772" width="11.28515625" customWidth="1"/>
    <col min="773" max="773" width="9.85546875" customWidth="1"/>
    <col min="774" max="774" width="11" customWidth="1"/>
    <col min="775" max="775" width="13.42578125" customWidth="1"/>
    <col min="776" max="777" width="12.42578125" customWidth="1"/>
    <col min="778" max="778" width="6.28515625" customWidth="1"/>
    <col min="779" max="779" width="6.42578125" customWidth="1"/>
    <col min="780" max="780" width="6.85546875" customWidth="1"/>
    <col min="781" max="781" width="9.28515625" customWidth="1"/>
    <col min="782" max="782" width="11.28515625" customWidth="1"/>
    <col min="1027" max="1027" width="39.85546875" customWidth="1"/>
    <col min="1028" max="1028" width="11.28515625" customWidth="1"/>
    <col min="1029" max="1029" width="9.85546875" customWidth="1"/>
    <col min="1030" max="1030" width="11" customWidth="1"/>
    <col min="1031" max="1031" width="13.42578125" customWidth="1"/>
    <col min="1032" max="1033" width="12.42578125" customWidth="1"/>
    <col min="1034" max="1034" width="6.28515625" customWidth="1"/>
    <col min="1035" max="1035" width="6.42578125" customWidth="1"/>
    <col min="1036" max="1036" width="6.85546875" customWidth="1"/>
    <col min="1037" max="1037" width="9.28515625" customWidth="1"/>
    <col min="1038" max="1038" width="11.28515625" customWidth="1"/>
    <col min="1283" max="1283" width="39.85546875" customWidth="1"/>
    <col min="1284" max="1284" width="11.28515625" customWidth="1"/>
    <col min="1285" max="1285" width="9.85546875" customWidth="1"/>
    <col min="1286" max="1286" width="11" customWidth="1"/>
    <col min="1287" max="1287" width="13.42578125" customWidth="1"/>
    <col min="1288" max="1289" width="12.42578125" customWidth="1"/>
    <col min="1290" max="1290" width="6.28515625" customWidth="1"/>
    <col min="1291" max="1291" width="6.42578125" customWidth="1"/>
    <col min="1292" max="1292" width="6.85546875" customWidth="1"/>
    <col min="1293" max="1293" width="9.28515625" customWidth="1"/>
    <col min="1294" max="1294" width="11.28515625" customWidth="1"/>
    <col min="1539" max="1539" width="39.85546875" customWidth="1"/>
    <col min="1540" max="1540" width="11.28515625" customWidth="1"/>
    <col min="1541" max="1541" width="9.85546875" customWidth="1"/>
    <col min="1542" max="1542" width="11" customWidth="1"/>
    <col min="1543" max="1543" width="13.42578125" customWidth="1"/>
    <col min="1544" max="1545" width="12.42578125" customWidth="1"/>
    <col min="1546" max="1546" width="6.28515625" customWidth="1"/>
    <col min="1547" max="1547" width="6.42578125" customWidth="1"/>
    <col min="1548" max="1548" width="6.85546875" customWidth="1"/>
    <col min="1549" max="1549" width="9.28515625" customWidth="1"/>
    <col min="1550" max="1550" width="11.28515625" customWidth="1"/>
    <col min="1795" max="1795" width="39.85546875" customWidth="1"/>
    <col min="1796" max="1796" width="11.28515625" customWidth="1"/>
    <col min="1797" max="1797" width="9.85546875" customWidth="1"/>
    <col min="1798" max="1798" width="11" customWidth="1"/>
    <col min="1799" max="1799" width="13.42578125" customWidth="1"/>
    <col min="1800" max="1801" width="12.42578125" customWidth="1"/>
    <col min="1802" max="1802" width="6.28515625" customWidth="1"/>
    <col min="1803" max="1803" width="6.42578125" customWidth="1"/>
    <col min="1804" max="1804" width="6.85546875" customWidth="1"/>
    <col min="1805" max="1805" width="9.28515625" customWidth="1"/>
    <col min="1806" max="1806" width="11.28515625" customWidth="1"/>
    <col min="2051" max="2051" width="39.85546875" customWidth="1"/>
    <col min="2052" max="2052" width="11.28515625" customWidth="1"/>
    <col min="2053" max="2053" width="9.85546875" customWidth="1"/>
    <col min="2054" max="2054" width="11" customWidth="1"/>
    <col min="2055" max="2055" width="13.42578125" customWidth="1"/>
    <col min="2056" max="2057" width="12.42578125" customWidth="1"/>
    <col min="2058" max="2058" width="6.28515625" customWidth="1"/>
    <col min="2059" max="2059" width="6.42578125" customWidth="1"/>
    <col min="2060" max="2060" width="6.85546875" customWidth="1"/>
    <col min="2061" max="2061" width="9.28515625" customWidth="1"/>
    <col min="2062" max="2062" width="11.28515625" customWidth="1"/>
    <col min="2307" max="2307" width="39.85546875" customWidth="1"/>
    <col min="2308" max="2308" width="11.28515625" customWidth="1"/>
    <col min="2309" max="2309" width="9.85546875" customWidth="1"/>
    <col min="2310" max="2310" width="11" customWidth="1"/>
    <col min="2311" max="2311" width="13.42578125" customWidth="1"/>
    <col min="2312" max="2313" width="12.42578125" customWidth="1"/>
    <col min="2314" max="2314" width="6.28515625" customWidth="1"/>
    <col min="2315" max="2315" width="6.42578125" customWidth="1"/>
    <col min="2316" max="2316" width="6.85546875" customWidth="1"/>
    <col min="2317" max="2317" width="9.28515625" customWidth="1"/>
    <col min="2318" max="2318" width="11.28515625" customWidth="1"/>
    <col min="2563" max="2563" width="39.85546875" customWidth="1"/>
    <col min="2564" max="2564" width="11.28515625" customWidth="1"/>
    <col min="2565" max="2565" width="9.85546875" customWidth="1"/>
    <col min="2566" max="2566" width="11" customWidth="1"/>
    <col min="2567" max="2567" width="13.42578125" customWidth="1"/>
    <col min="2568" max="2569" width="12.42578125" customWidth="1"/>
    <col min="2570" max="2570" width="6.28515625" customWidth="1"/>
    <col min="2571" max="2571" width="6.42578125" customWidth="1"/>
    <col min="2572" max="2572" width="6.85546875" customWidth="1"/>
    <col min="2573" max="2573" width="9.28515625" customWidth="1"/>
    <col min="2574" max="2574" width="11.28515625" customWidth="1"/>
    <col min="2819" max="2819" width="39.85546875" customWidth="1"/>
    <col min="2820" max="2820" width="11.28515625" customWidth="1"/>
    <col min="2821" max="2821" width="9.85546875" customWidth="1"/>
    <col min="2822" max="2822" width="11" customWidth="1"/>
    <col min="2823" max="2823" width="13.42578125" customWidth="1"/>
    <col min="2824" max="2825" width="12.42578125" customWidth="1"/>
    <col min="2826" max="2826" width="6.28515625" customWidth="1"/>
    <col min="2827" max="2827" width="6.42578125" customWidth="1"/>
    <col min="2828" max="2828" width="6.85546875" customWidth="1"/>
    <col min="2829" max="2829" width="9.28515625" customWidth="1"/>
    <col min="2830" max="2830" width="11.28515625" customWidth="1"/>
    <col min="3075" max="3075" width="39.85546875" customWidth="1"/>
    <col min="3076" max="3076" width="11.28515625" customWidth="1"/>
    <col min="3077" max="3077" width="9.85546875" customWidth="1"/>
    <col min="3078" max="3078" width="11" customWidth="1"/>
    <col min="3079" max="3079" width="13.42578125" customWidth="1"/>
    <col min="3080" max="3081" width="12.42578125" customWidth="1"/>
    <col min="3082" max="3082" width="6.28515625" customWidth="1"/>
    <col min="3083" max="3083" width="6.42578125" customWidth="1"/>
    <col min="3084" max="3084" width="6.85546875" customWidth="1"/>
    <col min="3085" max="3085" width="9.28515625" customWidth="1"/>
    <col min="3086" max="3086" width="11.28515625" customWidth="1"/>
    <col min="3331" max="3331" width="39.85546875" customWidth="1"/>
    <col min="3332" max="3332" width="11.28515625" customWidth="1"/>
    <col min="3333" max="3333" width="9.85546875" customWidth="1"/>
    <col min="3334" max="3334" width="11" customWidth="1"/>
    <col min="3335" max="3335" width="13.42578125" customWidth="1"/>
    <col min="3336" max="3337" width="12.42578125" customWidth="1"/>
    <col min="3338" max="3338" width="6.28515625" customWidth="1"/>
    <col min="3339" max="3339" width="6.42578125" customWidth="1"/>
    <col min="3340" max="3340" width="6.85546875" customWidth="1"/>
    <col min="3341" max="3341" width="9.28515625" customWidth="1"/>
    <col min="3342" max="3342" width="11.28515625" customWidth="1"/>
    <col min="3587" max="3587" width="39.85546875" customWidth="1"/>
    <col min="3588" max="3588" width="11.28515625" customWidth="1"/>
    <col min="3589" max="3589" width="9.85546875" customWidth="1"/>
    <col min="3590" max="3590" width="11" customWidth="1"/>
    <col min="3591" max="3591" width="13.42578125" customWidth="1"/>
    <col min="3592" max="3593" width="12.42578125" customWidth="1"/>
    <col min="3594" max="3594" width="6.28515625" customWidth="1"/>
    <col min="3595" max="3595" width="6.42578125" customWidth="1"/>
    <col min="3596" max="3596" width="6.85546875" customWidth="1"/>
    <col min="3597" max="3597" width="9.28515625" customWidth="1"/>
    <col min="3598" max="3598" width="11.28515625" customWidth="1"/>
    <col min="3843" max="3843" width="39.85546875" customWidth="1"/>
    <col min="3844" max="3844" width="11.28515625" customWidth="1"/>
    <col min="3845" max="3845" width="9.85546875" customWidth="1"/>
    <col min="3846" max="3846" width="11" customWidth="1"/>
    <col min="3847" max="3847" width="13.42578125" customWidth="1"/>
    <col min="3848" max="3849" width="12.42578125" customWidth="1"/>
    <col min="3850" max="3850" width="6.28515625" customWidth="1"/>
    <col min="3851" max="3851" width="6.42578125" customWidth="1"/>
    <col min="3852" max="3852" width="6.85546875" customWidth="1"/>
    <col min="3853" max="3853" width="9.28515625" customWidth="1"/>
    <col min="3854" max="3854" width="11.28515625" customWidth="1"/>
    <col min="4099" max="4099" width="39.85546875" customWidth="1"/>
    <col min="4100" max="4100" width="11.28515625" customWidth="1"/>
    <col min="4101" max="4101" width="9.85546875" customWidth="1"/>
    <col min="4102" max="4102" width="11" customWidth="1"/>
    <col min="4103" max="4103" width="13.42578125" customWidth="1"/>
    <col min="4104" max="4105" width="12.42578125" customWidth="1"/>
    <col min="4106" max="4106" width="6.28515625" customWidth="1"/>
    <col min="4107" max="4107" width="6.42578125" customWidth="1"/>
    <col min="4108" max="4108" width="6.85546875" customWidth="1"/>
    <col min="4109" max="4109" width="9.28515625" customWidth="1"/>
    <col min="4110" max="4110" width="11.28515625" customWidth="1"/>
    <col min="4355" max="4355" width="39.85546875" customWidth="1"/>
    <col min="4356" max="4356" width="11.28515625" customWidth="1"/>
    <col min="4357" max="4357" width="9.85546875" customWidth="1"/>
    <col min="4358" max="4358" width="11" customWidth="1"/>
    <col min="4359" max="4359" width="13.42578125" customWidth="1"/>
    <col min="4360" max="4361" width="12.42578125" customWidth="1"/>
    <col min="4362" max="4362" width="6.28515625" customWidth="1"/>
    <col min="4363" max="4363" width="6.42578125" customWidth="1"/>
    <col min="4364" max="4364" width="6.85546875" customWidth="1"/>
    <col min="4365" max="4365" width="9.28515625" customWidth="1"/>
    <col min="4366" max="4366" width="11.28515625" customWidth="1"/>
    <col min="4611" max="4611" width="39.85546875" customWidth="1"/>
    <col min="4612" max="4612" width="11.28515625" customWidth="1"/>
    <col min="4613" max="4613" width="9.85546875" customWidth="1"/>
    <col min="4614" max="4614" width="11" customWidth="1"/>
    <col min="4615" max="4615" width="13.42578125" customWidth="1"/>
    <col min="4616" max="4617" width="12.42578125" customWidth="1"/>
    <col min="4618" max="4618" width="6.28515625" customWidth="1"/>
    <col min="4619" max="4619" width="6.42578125" customWidth="1"/>
    <col min="4620" max="4620" width="6.85546875" customWidth="1"/>
    <col min="4621" max="4621" width="9.28515625" customWidth="1"/>
    <col min="4622" max="4622" width="11.28515625" customWidth="1"/>
    <col min="4867" max="4867" width="39.85546875" customWidth="1"/>
    <col min="4868" max="4868" width="11.28515625" customWidth="1"/>
    <col min="4869" max="4869" width="9.85546875" customWidth="1"/>
    <col min="4870" max="4870" width="11" customWidth="1"/>
    <col min="4871" max="4871" width="13.42578125" customWidth="1"/>
    <col min="4872" max="4873" width="12.42578125" customWidth="1"/>
    <col min="4874" max="4874" width="6.28515625" customWidth="1"/>
    <col min="4875" max="4875" width="6.42578125" customWidth="1"/>
    <col min="4876" max="4876" width="6.85546875" customWidth="1"/>
    <col min="4877" max="4877" width="9.28515625" customWidth="1"/>
    <col min="4878" max="4878" width="11.28515625" customWidth="1"/>
    <col min="5123" max="5123" width="39.85546875" customWidth="1"/>
    <col min="5124" max="5124" width="11.28515625" customWidth="1"/>
    <col min="5125" max="5125" width="9.85546875" customWidth="1"/>
    <col min="5126" max="5126" width="11" customWidth="1"/>
    <col min="5127" max="5127" width="13.42578125" customWidth="1"/>
    <col min="5128" max="5129" width="12.42578125" customWidth="1"/>
    <col min="5130" max="5130" width="6.28515625" customWidth="1"/>
    <col min="5131" max="5131" width="6.42578125" customWidth="1"/>
    <col min="5132" max="5132" width="6.85546875" customWidth="1"/>
    <col min="5133" max="5133" width="9.28515625" customWidth="1"/>
    <col min="5134" max="5134" width="11.28515625" customWidth="1"/>
    <col min="5379" max="5379" width="39.85546875" customWidth="1"/>
    <col min="5380" max="5380" width="11.28515625" customWidth="1"/>
    <col min="5381" max="5381" width="9.85546875" customWidth="1"/>
    <col min="5382" max="5382" width="11" customWidth="1"/>
    <col min="5383" max="5383" width="13.42578125" customWidth="1"/>
    <col min="5384" max="5385" width="12.42578125" customWidth="1"/>
    <col min="5386" max="5386" width="6.28515625" customWidth="1"/>
    <col min="5387" max="5387" width="6.42578125" customWidth="1"/>
    <col min="5388" max="5388" width="6.85546875" customWidth="1"/>
    <col min="5389" max="5389" width="9.28515625" customWidth="1"/>
    <col min="5390" max="5390" width="11.28515625" customWidth="1"/>
    <col min="5635" max="5635" width="39.85546875" customWidth="1"/>
    <col min="5636" max="5636" width="11.28515625" customWidth="1"/>
    <col min="5637" max="5637" width="9.85546875" customWidth="1"/>
    <col min="5638" max="5638" width="11" customWidth="1"/>
    <col min="5639" max="5639" width="13.42578125" customWidth="1"/>
    <col min="5640" max="5641" width="12.42578125" customWidth="1"/>
    <col min="5642" max="5642" width="6.28515625" customWidth="1"/>
    <col min="5643" max="5643" width="6.42578125" customWidth="1"/>
    <col min="5644" max="5644" width="6.85546875" customWidth="1"/>
    <col min="5645" max="5645" width="9.28515625" customWidth="1"/>
    <col min="5646" max="5646" width="11.28515625" customWidth="1"/>
    <col min="5891" max="5891" width="39.85546875" customWidth="1"/>
    <col min="5892" max="5892" width="11.28515625" customWidth="1"/>
    <col min="5893" max="5893" width="9.85546875" customWidth="1"/>
    <col min="5894" max="5894" width="11" customWidth="1"/>
    <col min="5895" max="5895" width="13.42578125" customWidth="1"/>
    <col min="5896" max="5897" width="12.42578125" customWidth="1"/>
    <col min="5898" max="5898" width="6.28515625" customWidth="1"/>
    <col min="5899" max="5899" width="6.42578125" customWidth="1"/>
    <col min="5900" max="5900" width="6.85546875" customWidth="1"/>
    <col min="5901" max="5901" width="9.28515625" customWidth="1"/>
    <col min="5902" max="5902" width="11.28515625" customWidth="1"/>
    <col min="6147" max="6147" width="39.85546875" customWidth="1"/>
    <col min="6148" max="6148" width="11.28515625" customWidth="1"/>
    <col min="6149" max="6149" width="9.85546875" customWidth="1"/>
    <col min="6150" max="6150" width="11" customWidth="1"/>
    <col min="6151" max="6151" width="13.42578125" customWidth="1"/>
    <col min="6152" max="6153" width="12.42578125" customWidth="1"/>
    <col min="6154" max="6154" width="6.28515625" customWidth="1"/>
    <col min="6155" max="6155" width="6.42578125" customWidth="1"/>
    <col min="6156" max="6156" width="6.85546875" customWidth="1"/>
    <col min="6157" max="6157" width="9.28515625" customWidth="1"/>
    <col min="6158" max="6158" width="11.28515625" customWidth="1"/>
    <col min="6403" max="6403" width="39.85546875" customWidth="1"/>
    <col min="6404" max="6404" width="11.28515625" customWidth="1"/>
    <col min="6405" max="6405" width="9.85546875" customWidth="1"/>
    <col min="6406" max="6406" width="11" customWidth="1"/>
    <col min="6407" max="6407" width="13.42578125" customWidth="1"/>
    <col min="6408" max="6409" width="12.42578125" customWidth="1"/>
    <col min="6410" max="6410" width="6.28515625" customWidth="1"/>
    <col min="6411" max="6411" width="6.42578125" customWidth="1"/>
    <col min="6412" max="6412" width="6.85546875" customWidth="1"/>
    <col min="6413" max="6413" width="9.28515625" customWidth="1"/>
    <col min="6414" max="6414" width="11.28515625" customWidth="1"/>
    <col min="6659" max="6659" width="39.85546875" customWidth="1"/>
    <col min="6660" max="6660" width="11.28515625" customWidth="1"/>
    <col min="6661" max="6661" width="9.85546875" customWidth="1"/>
    <col min="6662" max="6662" width="11" customWidth="1"/>
    <col min="6663" max="6663" width="13.42578125" customWidth="1"/>
    <col min="6664" max="6665" width="12.42578125" customWidth="1"/>
    <col min="6666" max="6666" width="6.28515625" customWidth="1"/>
    <col min="6667" max="6667" width="6.42578125" customWidth="1"/>
    <col min="6668" max="6668" width="6.85546875" customWidth="1"/>
    <col min="6669" max="6669" width="9.28515625" customWidth="1"/>
    <col min="6670" max="6670" width="11.28515625" customWidth="1"/>
    <col min="6915" max="6915" width="39.85546875" customWidth="1"/>
    <col min="6916" max="6916" width="11.28515625" customWidth="1"/>
    <col min="6917" max="6917" width="9.85546875" customWidth="1"/>
    <col min="6918" max="6918" width="11" customWidth="1"/>
    <col min="6919" max="6919" width="13.42578125" customWidth="1"/>
    <col min="6920" max="6921" width="12.42578125" customWidth="1"/>
    <col min="6922" max="6922" width="6.28515625" customWidth="1"/>
    <col min="6923" max="6923" width="6.42578125" customWidth="1"/>
    <col min="6924" max="6924" width="6.85546875" customWidth="1"/>
    <col min="6925" max="6925" width="9.28515625" customWidth="1"/>
    <col min="6926" max="6926" width="11.28515625" customWidth="1"/>
    <col min="7171" max="7171" width="39.85546875" customWidth="1"/>
    <col min="7172" max="7172" width="11.28515625" customWidth="1"/>
    <col min="7173" max="7173" width="9.85546875" customWidth="1"/>
    <col min="7174" max="7174" width="11" customWidth="1"/>
    <col min="7175" max="7175" width="13.42578125" customWidth="1"/>
    <col min="7176" max="7177" width="12.42578125" customWidth="1"/>
    <col min="7178" max="7178" width="6.28515625" customWidth="1"/>
    <col min="7179" max="7179" width="6.42578125" customWidth="1"/>
    <col min="7180" max="7180" width="6.85546875" customWidth="1"/>
    <col min="7181" max="7181" width="9.28515625" customWidth="1"/>
    <col min="7182" max="7182" width="11.28515625" customWidth="1"/>
    <col min="7427" max="7427" width="39.85546875" customWidth="1"/>
    <col min="7428" max="7428" width="11.28515625" customWidth="1"/>
    <col min="7429" max="7429" width="9.85546875" customWidth="1"/>
    <col min="7430" max="7430" width="11" customWidth="1"/>
    <col min="7431" max="7431" width="13.42578125" customWidth="1"/>
    <col min="7432" max="7433" width="12.42578125" customWidth="1"/>
    <col min="7434" max="7434" width="6.28515625" customWidth="1"/>
    <col min="7435" max="7435" width="6.42578125" customWidth="1"/>
    <col min="7436" max="7436" width="6.85546875" customWidth="1"/>
    <col min="7437" max="7437" width="9.28515625" customWidth="1"/>
    <col min="7438" max="7438" width="11.28515625" customWidth="1"/>
    <col min="7683" max="7683" width="39.85546875" customWidth="1"/>
    <col min="7684" max="7684" width="11.28515625" customWidth="1"/>
    <col min="7685" max="7685" width="9.85546875" customWidth="1"/>
    <col min="7686" max="7686" width="11" customWidth="1"/>
    <col min="7687" max="7687" width="13.42578125" customWidth="1"/>
    <col min="7688" max="7689" width="12.42578125" customWidth="1"/>
    <col min="7690" max="7690" width="6.28515625" customWidth="1"/>
    <col min="7691" max="7691" width="6.42578125" customWidth="1"/>
    <col min="7692" max="7692" width="6.85546875" customWidth="1"/>
    <col min="7693" max="7693" width="9.28515625" customWidth="1"/>
    <col min="7694" max="7694" width="11.28515625" customWidth="1"/>
    <col min="7939" max="7939" width="39.85546875" customWidth="1"/>
    <col min="7940" max="7940" width="11.28515625" customWidth="1"/>
    <col min="7941" max="7941" width="9.85546875" customWidth="1"/>
    <col min="7942" max="7942" width="11" customWidth="1"/>
    <col min="7943" max="7943" width="13.42578125" customWidth="1"/>
    <col min="7944" max="7945" width="12.42578125" customWidth="1"/>
    <col min="7946" max="7946" width="6.28515625" customWidth="1"/>
    <col min="7947" max="7947" width="6.42578125" customWidth="1"/>
    <col min="7948" max="7948" width="6.85546875" customWidth="1"/>
    <col min="7949" max="7949" width="9.28515625" customWidth="1"/>
    <col min="7950" max="7950" width="11.28515625" customWidth="1"/>
    <col min="8195" max="8195" width="39.85546875" customWidth="1"/>
    <col min="8196" max="8196" width="11.28515625" customWidth="1"/>
    <col min="8197" max="8197" width="9.85546875" customWidth="1"/>
    <col min="8198" max="8198" width="11" customWidth="1"/>
    <col min="8199" max="8199" width="13.42578125" customWidth="1"/>
    <col min="8200" max="8201" width="12.42578125" customWidth="1"/>
    <col min="8202" max="8202" width="6.28515625" customWidth="1"/>
    <col min="8203" max="8203" width="6.42578125" customWidth="1"/>
    <col min="8204" max="8204" width="6.85546875" customWidth="1"/>
    <col min="8205" max="8205" width="9.28515625" customWidth="1"/>
    <col min="8206" max="8206" width="11.28515625" customWidth="1"/>
    <col min="8451" max="8451" width="39.85546875" customWidth="1"/>
    <col min="8452" max="8452" width="11.28515625" customWidth="1"/>
    <col min="8453" max="8453" width="9.85546875" customWidth="1"/>
    <col min="8454" max="8454" width="11" customWidth="1"/>
    <col min="8455" max="8455" width="13.42578125" customWidth="1"/>
    <col min="8456" max="8457" width="12.42578125" customWidth="1"/>
    <col min="8458" max="8458" width="6.28515625" customWidth="1"/>
    <col min="8459" max="8459" width="6.42578125" customWidth="1"/>
    <col min="8460" max="8460" width="6.85546875" customWidth="1"/>
    <col min="8461" max="8461" width="9.28515625" customWidth="1"/>
    <col min="8462" max="8462" width="11.28515625" customWidth="1"/>
    <col min="8707" max="8707" width="39.85546875" customWidth="1"/>
    <col min="8708" max="8708" width="11.28515625" customWidth="1"/>
    <col min="8709" max="8709" width="9.85546875" customWidth="1"/>
    <col min="8710" max="8710" width="11" customWidth="1"/>
    <col min="8711" max="8711" width="13.42578125" customWidth="1"/>
    <col min="8712" max="8713" width="12.42578125" customWidth="1"/>
    <col min="8714" max="8714" width="6.28515625" customWidth="1"/>
    <col min="8715" max="8715" width="6.42578125" customWidth="1"/>
    <col min="8716" max="8716" width="6.85546875" customWidth="1"/>
    <col min="8717" max="8717" width="9.28515625" customWidth="1"/>
    <col min="8718" max="8718" width="11.28515625" customWidth="1"/>
    <col min="8963" max="8963" width="39.85546875" customWidth="1"/>
    <col min="8964" max="8964" width="11.28515625" customWidth="1"/>
    <col min="8965" max="8965" width="9.85546875" customWidth="1"/>
    <col min="8966" max="8966" width="11" customWidth="1"/>
    <col min="8967" max="8967" width="13.42578125" customWidth="1"/>
    <col min="8968" max="8969" width="12.42578125" customWidth="1"/>
    <col min="8970" max="8970" width="6.28515625" customWidth="1"/>
    <col min="8971" max="8971" width="6.42578125" customWidth="1"/>
    <col min="8972" max="8972" width="6.85546875" customWidth="1"/>
    <col min="8973" max="8973" width="9.28515625" customWidth="1"/>
    <col min="8974" max="8974" width="11.28515625" customWidth="1"/>
    <col min="9219" max="9219" width="39.85546875" customWidth="1"/>
    <col min="9220" max="9220" width="11.28515625" customWidth="1"/>
    <col min="9221" max="9221" width="9.85546875" customWidth="1"/>
    <col min="9222" max="9222" width="11" customWidth="1"/>
    <col min="9223" max="9223" width="13.42578125" customWidth="1"/>
    <col min="9224" max="9225" width="12.42578125" customWidth="1"/>
    <col min="9226" max="9226" width="6.28515625" customWidth="1"/>
    <col min="9227" max="9227" width="6.42578125" customWidth="1"/>
    <col min="9228" max="9228" width="6.85546875" customWidth="1"/>
    <col min="9229" max="9229" width="9.28515625" customWidth="1"/>
    <col min="9230" max="9230" width="11.28515625" customWidth="1"/>
    <col min="9475" max="9475" width="39.85546875" customWidth="1"/>
    <col min="9476" max="9476" width="11.28515625" customWidth="1"/>
    <col min="9477" max="9477" width="9.85546875" customWidth="1"/>
    <col min="9478" max="9478" width="11" customWidth="1"/>
    <col min="9479" max="9479" width="13.42578125" customWidth="1"/>
    <col min="9480" max="9481" width="12.42578125" customWidth="1"/>
    <col min="9482" max="9482" width="6.28515625" customWidth="1"/>
    <col min="9483" max="9483" width="6.42578125" customWidth="1"/>
    <col min="9484" max="9484" width="6.85546875" customWidth="1"/>
    <col min="9485" max="9485" width="9.28515625" customWidth="1"/>
    <col min="9486" max="9486" width="11.28515625" customWidth="1"/>
    <col min="9731" max="9731" width="39.85546875" customWidth="1"/>
    <col min="9732" max="9732" width="11.28515625" customWidth="1"/>
    <col min="9733" max="9733" width="9.85546875" customWidth="1"/>
    <col min="9734" max="9734" width="11" customWidth="1"/>
    <col min="9735" max="9735" width="13.42578125" customWidth="1"/>
    <col min="9736" max="9737" width="12.42578125" customWidth="1"/>
    <col min="9738" max="9738" width="6.28515625" customWidth="1"/>
    <col min="9739" max="9739" width="6.42578125" customWidth="1"/>
    <col min="9740" max="9740" width="6.85546875" customWidth="1"/>
    <col min="9741" max="9741" width="9.28515625" customWidth="1"/>
    <col min="9742" max="9742" width="11.28515625" customWidth="1"/>
    <col min="9987" max="9987" width="39.85546875" customWidth="1"/>
    <col min="9988" max="9988" width="11.28515625" customWidth="1"/>
    <col min="9989" max="9989" width="9.85546875" customWidth="1"/>
    <col min="9990" max="9990" width="11" customWidth="1"/>
    <col min="9991" max="9991" width="13.42578125" customWidth="1"/>
    <col min="9992" max="9993" width="12.42578125" customWidth="1"/>
    <col min="9994" max="9994" width="6.28515625" customWidth="1"/>
    <col min="9995" max="9995" width="6.42578125" customWidth="1"/>
    <col min="9996" max="9996" width="6.85546875" customWidth="1"/>
    <col min="9997" max="9997" width="9.28515625" customWidth="1"/>
    <col min="9998" max="9998" width="11.28515625" customWidth="1"/>
    <col min="10243" max="10243" width="39.85546875" customWidth="1"/>
    <col min="10244" max="10244" width="11.28515625" customWidth="1"/>
    <col min="10245" max="10245" width="9.85546875" customWidth="1"/>
    <col min="10246" max="10246" width="11" customWidth="1"/>
    <col min="10247" max="10247" width="13.42578125" customWidth="1"/>
    <col min="10248" max="10249" width="12.42578125" customWidth="1"/>
    <col min="10250" max="10250" width="6.28515625" customWidth="1"/>
    <col min="10251" max="10251" width="6.42578125" customWidth="1"/>
    <col min="10252" max="10252" width="6.85546875" customWidth="1"/>
    <col min="10253" max="10253" width="9.28515625" customWidth="1"/>
    <col min="10254" max="10254" width="11.28515625" customWidth="1"/>
    <col min="10499" max="10499" width="39.85546875" customWidth="1"/>
    <col min="10500" max="10500" width="11.28515625" customWidth="1"/>
    <col min="10501" max="10501" width="9.85546875" customWidth="1"/>
    <col min="10502" max="10502" width="11" customWidth="1"/>
    <col min="10503" max="10503" width="13.42578125" customWidth="1"/>
    <col min="10504" max="10505" width="12.42578125" customWidth="1"/>
    <col min="10506" max="10506" width="6.28515625" customWidth="1"/>
    <col min="10507" max="10507" width="6.42578125" customWidth="1"/>
    <col min="10508" max="10508" width="6.85546875" customWidth="1"/>
    <col min="10509" max="10509" width="9.28515625" customWidth="1"/>
    <col min="10510" max="10510" width="11.28515625" customWidth="1"/>
    <col min="10755" max="10755" width="39.85546875" customWidth="1"/>
    <col min="10756" max="10756" width="11.28515625" customWidth="1"/>
    <col min="10757" max="10757" width="9.85546875" customWidth="1"/>
    <col min="10758" max="10758" width="11" customWidth="1"/>
    <col min="10759" max="10759" width="13.42578125" customWidth="1"/>
    <col min="10760" max="10761" width="12.42578125" customWidth="1"/>
    <col min="10762" max="10762" width="6.28515625" customWidth="1"/>
    <col min="10763" max="10763" width="6.42578125" customWidth="1"/>
    <col min="10764" max="10764" width="6.85546875" customWidth="1"/>
    <col min="10765" max="10765" width="9.28515625" customWidth="1"/>
    <col min="10766" max="10766" width="11.28515625" customWidth="1"/>
    <col min="11011" max="11011" width="39.85546875" customWidth="1"/>
    <col min="11012" max="11012" width="11.28515625" customWidth="1"/>
    <col min="11013" max="11013" width="9.85546875" customWidth="1"/>
    <col min="11014" max="11014" width="11" customWidth="1"/>
    <col min="11015" max="11015" width="13.42578125" customWidth="1"/>
    <col min="11016" max="11017" width="12.42578125" customWidth="1"/>
    <col min="11018" max="11018" width="6.28515625" customWidth="1"/>
    <col min="11019" max="11019" width="6.42578125" customWidth="1"/>
    <col min="11020" max="11020" width="6.85546875" customWidth="1"/>
    <col min="11021" max="11021" width="9.28515625" customWidth="1"/>
    <col min="11022" max="11022" width="11.28515625" customWidth="1"/>
    <col min="11267" max="11267" width="39.85546875" customWidth="1"/>
    <col min="11268" max="11268" width="11.28515625" customWidth="1"/>
    <col min="11269" max="11269" width="9.85546875" customWidth="1"/>
    <col min="11270" max="11270" width="11" customWidth="1"/>
    <col min="11271" max="11271" width="13.42578125" customWidth="1"/>
    <col min="11272" max="11273" width="12.42578125" customWidth="1"/>
    <col min="11274" max="11274" width="6.28515625" customWidth="1"/>
    <col min="11275" max="11275" width="6.42578125" customWidth="1"/>
    <col min="11276" max="11276" width="6.85546875" customWidth="1"/>
    <col min="11277" max="11277" width="9.28515625" customWidth="1"/>
    <col min="11278" max="11278" width="11.28515625" customWidth="1"/>
    <col min="11523" max="11523" width="39.85546875" customWidth="1"/>
    <col min="11524" max="11524" width="11.28515625" customWidth="1"/>
    <col min="11525" max="11525" width="9.85546875" customWidth="1"/>
    <col min="11526" max="11526" width="11" customWidth="1"/>
    <col min="11527" max="11527" width="13.42578125" customWidth="1"/>
    <col min="11528" max="11529" width="12.42578125" customWidth="1"/>
    <col min="11530" max="11530" width="6.28515625" customWidth="1"/>
    <col min="11531" max="11531" width="6.42578125" customWidth="1"/>
    <col min="11532" max="11532" width="6.85546875" customWidth="1"/>
    <col min="11533" max="11533" width="9.28515625" customWidth="1"/>
    <col min="11534" max="11534" width="11.28515625" customWidth="1"/>
    <col min="11779" max="11779" width="39.85546875" customWidth="1"/>
    <col min="11780" max="11780" width="11.28515625" customWidth="1"/>
    <col min="11781" max="11781" width="9.85546875" customWidth="1"/>
    <col min="11782" max="11782" width="11" customWidth="1"/>
    <col min="11783" max="11783" width="13.42578125" customWidth="1"/>
    <col min="11784" max="11785" width="12.42578125" customWidth="1"/>
    <col min="11786" max="11786" width="6.28515625" customWidth="1"/>
    <col min="11787" max="11787" width="6.42578125" customWidth="1"/>
    <col min="11788" max="11788" width="6.85546875" customWidth="1"/>
    <col min="11789" max="11789" width="9.28515625" customWidth="1"/>
    <col min="11790" max="11790" width="11.28515625" customWidth="1"/>
    <col min="12035" max="12035" width="39.85546875" customWidth="1"/>
    <col min="12036" max="12036" width="11.28515625" customWidth="1"/>
    <col min="12037" max="12037" width="9.85546875" customWidth="1"/>
    <col min="12038" max="12038" width="11" customWidth="1"/>
    <col min="12039" max="12039" width="13.42578125" customWidth="1"/>
    <col min="12040" max="12041" width="12.42578125" customWidth="1"/>
    <col min="12042" max="12042" width="6.28515625" customWidth="1"/>
    <col min="12043" max="12043" width="6.42578125" customWidth="1"/>
    <col min="12044" max="12044" width="6.85546875" customWidth="1"/>
    <col min="12045" max="12045" width="9.28515625" customWidth="1"/>
    <col min="12046" max="12046" width="11.28515625" customWidth="1"/>
    <col min="12291" max="12291" width="39.85546875" customWidth="1"/>
    <col min="12292" max="12292" width="11.28515625" customWidth="1"/>
    <col min="12293" max="12293" width="9.85546875" customWidth="1"/>
    <col min="12294" max="12294" width="11" customWidth="1"/>
    <col min="12295" max="12295" width="13.42578125" customWidth="1"/>
    <col min="12296" max="12297" width="12.42578125" customWidth="1"/>
    <col min="12298" max="12298" width="6.28515625" customWidth="1"/>
    <col min="12299" max="12299" width="6.42578125" customWidth="1"/>
    <col min="12300" max="12300" width="6.85546875" customWidth="1"/>
    <col min="12301" max="12301" width="9.28515625" customWidth="1"/>
    <col min="12302" max="12302" width="11.28515625" customWidth="1"/>
    <col min="12547" max="12547" width="39.85546875" customWidth="1"/>
    <col min="12548" max="12548" width="11.28515625" customWidth="1"/>
    <col min="12549" max="12549" width="9.85546875" customWidth="1"/>
    <col min="12550" max="12550" width="11" customWidth="1"/>
    <col min="12551" max="12551" width="13.42578125" customWidth="1"/>
    <col min="12552" max="12553" width="12.42578125" customWidth="1"/>
    <col min="12554" max="12554" width="6.28515625" customWidth="1"/>
    <col min="12555" max="12555" width="6.42578125" customWidth="1"/>
    <col min="12556" max="12556" width="6.85546875" customWidth="1"/>
    <col min="12557" max="12557" width="9.28515625" customWidth="1"/>
    <col min="12558" max="12558" width="11.28515625" customWidth="1"/>
    <col min="12803" max="12803" width="39.85546875" customWidth="1"/>
    <col min="12804" max="12804" width="11.28515625" customWidth="1"/>
    <col min="12805" max="12805" width="9.85546875" customWidth="1"/>
    <col min="12806" max="12806" width="11" customWidth="1"/>
    <col min="12807" max="12807" width="13.42578125" customWidth="1"/>
    <col min="12808" max="12809" width="12.42578125" customWidth="1"/>
    <col min="12810" max="12810" width="6.28515625" customWidth="1"/>
    <col min="12811" max="12811" width="6.42578125" customWidth="1"/>
    <col min="12812" max="12812" width="6.85546875" customWidth="1"/>
    <col min="12813" max="12813" width="9.28515625" customWidth="1"/>
    <col min="12814" max="12814" width="11.28515625" customWidth="1"/>
    <col min="13059" max="13059" width="39.85546875" customWidth="1"/>
    <col min="13060" max="13060" width="11.28515625" customWidth="1"/>
    <col min="13061" max="13061" width="9.85546875" customWidth="1"/>
    <col min="13062" max="13062" width="11" customWidth="1"/>
    <col min="13063" max="13063" width="13.42578125" customWidth="1"/>
    <col min="13064" max="13065" width="12.42578125" customWidth="1"/>
    <col min="13066" max="13066" width="6.28515625" customWidth="1"/>
    <col min="13067" max="13067" width="6.42578125" customWidth="1"/>
    <col min="13068" max="13068" width="6.85546875" customWidth="1"/>
    <col min="13069" max="13069" width="9.28515625" customWidth="1"/>
    <col min="13070" max="13070" width="11.28515625" customWidth="1"/>
    <col min="13315" max="13315" width="39.85546875" customWidth="1"/>
    <col min="13316" max="13316" width="11.28515625" customWidth="1"/>
    <col min="13317" max="13317" width="9.85546875" customWidth="1"/>
    <col min="13318" max="13318" width="11" customWidth="1"/>
    <col min="13319" max="13319" width="13.42578125" customWidth="1"/>
    <col min="13320" max="13321" width="12.42578125" customWidth="1"/>
    <col min="13322" max="13322" width="6.28515625" customWidth="1"/>
    <col min="13323" max="13323" width="6.42578125" customWidth="1"/>
    <col min="13324" max="13324" width="6.85546875" customWidth="1"/>
    <col min="13325" max="13325" width="9.28515625" customWidth="1"/>
    <col min="13326" max="13326" width="11.28515625" customWidth="1"/>
    <col min="13571" max="13571" width="39.85546875" customWidth="1"/>
    <col min="13572" max="13572" width="11.28515625" customWidth="1"/>
    <col min="13573" max="13573" width="9.85546875" customWidth="1"/>
    <col min="13574" max="13574" width="11" customWidth="1"/>
    <col min="13575" max="13575" width="13.42578125" customWidth="1"/>
    <col min="13576" max="13577" width="12.42578125" customWidth="1"/>
    <col min="13578" max="13578" width="6.28515625" customWidth="1"/>
    <col min="13579" max="13579" width="6.42578125" customWidth="1"/>
    <col min="13580" max="13580" width="6.85546875" customWidth="1"/>
    <col min="13581" max="13581" width="9.28515625" customWidth="1"/>
    <col min="13582" max="13582" width="11.28515625" customWidth="1"/>
    <col min="13827" max="13827" width="39.85546875" customWidth="1"/>
    <col min="13828" max="13828" width="11.28515625" customWidth="1"/>
    <col min="13829" max="13829" width="9.85546875" customWidth="1"/>
    <col min="13830" max="13830" width="11" customWidth="1"/>
    <col min="13831" max="13831" width="13.42578125" customWidth="1"/>
    <col min="13832" max="13833" width="12.42578125" customWidth="1"/>
    <col min="13834" max="13834" width="6.28515625" customWidth="1"/>
    <col min="13835" max="13835" width="6.42578125" customWidth="1"/>
    <col min="13836" max="13836" width="6.85546875" customWidth="1"/>
    <col min="13837" max="13837" width="9.28515625" customWidth="1"/>
    <col min="13838" max="13838" width="11.28515625" customWidth="1"/>
    <col min="14083" max="14083" width="39.85546875" customWidth="1"/>
    <col min="14084" max="14084" width="11.28515625" customWidth="1"/>
    <col min="14085" max="14085" width="9.85546875" customWidth="1"/>
    <col min="14086" max="14086" width="11" customWidth="1"/>
    <col min="14087" max="14087" width="13.42578125" customWidth="1"/>
    <col min="14088" max="14089" width="12.42578125" customWidth="1"/>
    <col min="14090" max="14090" width="6.28515625" customWidth="1"/>
    <col min="14091" max="14091" width="6.42578125" customWidth="1"/>
    <col min="14092" max="14092" width="6.85546875" customWidth="1"/>
    <col min="14093" max="14093" width="9.28515625" customWidth="1"/>
    <col min="14094" max="14094" width="11.28515625" customWidth="1"/>
    <col min="14339" max="14339" width="39.85546875" customWidth="1"/>
    <col min="14340" max="14340" width="11.28515625" customWidth="1"/>
    <col min="14341" max="14341" width="9.85546875" customWidth="1"/>
    <col min="14342" max="14342" width="11" customWidth="1"/>
    <col min="14343" max="14343" width="13.42578125" customWidth="1"/>
    <col min="14344" max="14345" width="12.42578125" customWidth="1"/>
    <col min="14346" max="14346" width="6.28515625" customWidth="1"/>
    <col min="14347" max="14347" width="6.42578125" customWidth="1"/>
    <col min="14348" max="14348" width="6.85546875" customWidth="1"/>
    <col min="14349" max="14349" width="9.28515625" customWidth="1"/>
    <col min="14350" max="14350" width="11.28515625" customWidth="1"/>
    <col min="14595" max="14595" width="39.85546875" customWidth="1"/>
    <col min="14596" max="14596" width="11.28515625" customWidth="1"/>
    <col min="14597" max="14597" width="9.85546875" customWidth="1"/>
    <col min="14598" max="14598" width="11" customWidth="1"/>
    <col min="14599" max="14599" width="13.42578125" customWidth="1"/>
    <col min="14600" max="14601" width="12.42578125" customWidth="1"/>
    <col min="14602" max="14602" width="6.28515625" customWidth="1"/>
    <col min="14603" max="14603" width="6.42578125" customWidth="1"/>
    <col min="14604" max="14604" width="6.85546875" customWidth="1"/>
    <col min="14605" max="14605" width="9.28515625" customWidth="1"/>
    <col min="14606" max="14606" width="11.28515625" customWidth="1"/>
    <col min="14851" max="14851" width="39.85546875" customWidth="1"/>
    <col min="14852" max="14852" width="11.28515625" customWidth="1"/>
    <col min="14853" max="14853" width="9.85546875" customWidth="1"/>
    <col min="14854" max="14854" width="11" customWidth="1"/>
    <col min="14855" max="14855" width="13.42578125" customWidth="1"/>
    <col min="14856" max="14857" width="12.42578125" customWidth="1"/>
    <col min="14858" max="14858" width="6.28515625" customWidth="1"/>
    <col min="14859" max="14859" width="6.42578125" customWidth="1"/>
    <col min="14860" max="14860" width="6.85546875" customWidth="1"/>
    <col min="14861" max="14861" width="9.28515625" customWidth="1"/>
    <col min="14862" max="14862" width="11.28515625" customWidth="1"/>
    <col min="15107" max="15107" width="39.85546875" customWidth="1"/>
    <col min="15108" max="15108" width="11.28515625" customWidth="1"/>
    <col min="15109" max="15109" width="9.85546875" customWidth="1"/>
    <col min="15110" max="15110" width="11" customWidth="1"/>
    <col min="15111" max="15111" width="13.42578125" customWidth="1"/>
    <col min="15112" max="15113" width="12.42578125" customWidth="1"/>
    <col min="15114" max="15114" width="6.28515625" customWidth="1"/>
    <col min="15115" max="15115" width="6.42578125" customWidth="1"/>
    <col min="15116" max="15116" width="6.85546875" customWidth="1"/>
    <col min="15117" max="15117" width="9.28515625" customWidth="1"/>
    <col min="15118" max="15118" width="11.28515625" customWidth="1"/>
    <col min="15363" max="15363" width="39.85546875" customWidth="1"/>
    <col min="15364" max="15364" width="11.28515625" customWidth="1"/>
    <col min="15365" max="15365" width="9.85546875" customWidth="1"/>
    <col min="15366" max="15366" width="11" customWidth="1"/>
    <col min="15367" max="15367" width="13.42578125" customWidth="1"/>
    <col min="15368" max="15369" width="12.42578125" customWidth="1"/>
    <col min="15370" max="15370" width="6.28515625" customWidth="1"/>
    <col min="15371" max="15371" width="6.42578125" customWidth="1"/>
    <col min="15372" max="15372" width="6.85546875" customWidth="1"/>
    <col min="15373" max="15373" width="9.28515625" customWidth="1"/>
    <col min="15374" max="15374" width="11.28515625" customWidth="1"/>
    <col min="15619" max="15619" width="39.85546875" customWidth="1"/>
    <col min="15620" max="15620" width="11.28515625" customWidth="1"/>
    <col min="15621" max="15621" width="9.85546875" customWidth="1"/>
    <col min="15622" max="15622" width="11" customWidth="1"/>
    <col min="15623" max="15623" width="13.42578125" customWidth="1"/>
    <col min="15624" max="15625" width="12.42578125" customWidth="1"/>
    <col min="15626" max="15626" width="6.28515625" customWidth="1"/>
    <col min="15627" max="15627" width="6.42578125" customWidth="1"/>
    <col min="15628" max="15628" width="6.85546875" customWidth="1"/>
    <col min="15629" max="15629" width="9.28515625" customWidth="1"/>
    <col min="15630" max="15630" width="11.28515625" customWidth="1"/>
    <col min="15875" max="15875" width="39.85546875" customWidth="1"/>
    <col min="15876" max="15876" width="11.28515625" customWidth="1"/>
    <col min="15877" max="15877" width="9.85546875" customWidth="1"/>
    <col min="15878" max="15878" width="11" customWidth="1"/>
    <col min="15879" max="15879" width="13.42578125" customWidth="1"/>
    <col min="15880" max="15881" width="12.42578125" customWidth="1"/>
    <col min="15882" max="15882" width="6.28515625" customWidth="1"/>
    <col min="15883" max="15883" width="6.42578125" customWidth="1"/>
    <col min="15884" max="15884" width="6.85546875" customWidth="1"/>
    <col min="15885" max="15885" width="9.28515625" customWidth="1"/>
    <col min="15886" max="15886" width="11.28515625" customWidth="1"/>
    <col min="16131" max="16131" width="39.85546875" customWidth="1"/>
    <col min="16132" max="16132" width="11.28515625" customWidth="1"/>
    <col min="16133" max="16133" width="9.85546875" customWidth="1"/>
    <col min="16134" max="16134" width="11" customWidth="1"/>
    <col min="16135" max="16135" width="13.42578125" customWidth="1"/>
    <col min="16136" max="16137" width="12.42578125" customWidth="1"/>
    <col min="16138" max="16138" width="6.28515625" customWidth="1"/>
    <col min="16139" max="16139" width="6.42578125" customWidth="1"/>
    <col min="16140" max="16140" width="6.85546875" customWidth="1"/>
    <col min="16141" max="16141" width="9.28515625" customWidth="1"/>
    <col min="16142" max="16142" width="11.28515625" customWidth="1"/>
  </cols>
  <sheetData>
    <row r="1" spans="2:21" ht="10.5" customHeight="1" x14ac:dyDescent="0.25"/>
    <row r="2" spans="2:21" ht="18" x14ac:dyDescent="0.25">
      <c r="B2" s="321" t="s">
        <v>187</v>
      </c>
      <c r="C2" s="321"/>
      <c r="D2" s="321"/>
      <c r="E2" s="321"/>
      <c r="F2" s="321"/>
      <c r="G2" s="321"/>
      <c r="H2" s="321"/>
      <c r="I2" s="321"/>
      <c r="J2" s="321"/>
      <c r="K2" s="321"/>
      <c r="L2" s="321"/>
      <c r="M2" s="321"/>
      <c r="N2" s="321"/>
      <c r="O2" s="321"/>
      <c r="P2" s="321"/>
      <c r="Q2" s="321"/>
      <c r="R2" s="321"/>
      <c r="S2" s="321"/>
      <c r="T2" s="321"/>
      <c r="U2" s="321"/>
    </row>
    <row r="3" spans="2:21" ht="15.75" x14ac:dyDescent="0.25">
      <c r="B3" s="179" t="s">
        <v>188</v>
      </c>
    </row>
    <row r="4" spans="2:21" ht="9" customHeight="1" thickBot="1" x14ac:dyDescent="0.3">
      <c r="B4" s="137"/>
    </row>
    <row r="5" spans="2:21" x14ac:dyDescent="0.25">
      <c r="B5" s="322" t="s">
        <v>189</v>
      </c>
      <c r="C5" s="324" t="s">
        <v>190</v>
      </c>
      <c r="D5" s="326" t="s">
        <v>191</v>
      </c>
      <c r="E5" s="324" t="s">
        <v>192</v>
      </c>
      <c r="F5" s="324" t="s">
        <v>193</v>
      </c>
      <c r="G5" s="324" t="s">
        <v>194</v>
      </c>
      <c r="H5" s="326" t="s">
        <v>195</v>
      </c>
      <c r="I5" s="326" t="s">
        <v>196</v>
      </c>
      <c r="J5" s="326" t="s">
        <v>197</v>
      </c>
      <c r="K5" s="326"/>
      <c r="L5" s="326"/>
      <c r="M5" s="331"/>
      <c r="N5" s="332"/>
    </row>
    <row r="6" spans="2:21" ht="15" customHeight="1" x14ac:dyDescent="0.25">
      <c r="B6" s="323"/>
      <c r="C6" s="325"/>
      <c r="D6" s="327"/>
      <c r="E6" s="325"/>
      <c r="F6" s="325"/>
      <c r="G6" s="325"/>
      <c r="H6" s="329"/>
      <c r="I6" s="327"/>
      <c r="J6" s="333" t="s">
        <v>198</v>
      </c>
      <c r="K6" s="333" t="s">
        <v>199</v>
      </c>
      <c r="L6" s="333" t="s">
        <v>200</v>
      </c>
      <c r="M6" s="333" t="s">
        <v>201</v>
      </c>
      <c r="N6" s="334" t="s">
        <v>202</v>
      </c>
    </row>
    <row r="7" spans="2:21" x14ac:dyDescent="0.25">
      <c r="B7" s="323"/>
      <c r="C7" s="325"/>
      <c r="D7" s="328"/>
      <c r="E7" s="325"/>
      <c r="F7" s="325"/>
      <c r="G7" s="325"/>
      <c r="H7" s="330"/>
      <c r="I7" s="328"/>
      <c r="J7" s="328"/>
      <c r="K7" s="328"/>
      <c r="L7" s="328"/>
      <c r="M7" s="328"/>
      <c r="N7" s="335"/>
    </row>
    <row r="8" spans="2:21" x14ac:dyDescent="0.25">
      <c r="B8" s="138" t="s">
        <v>203</v>
      </c>
      <c r="C8" s="139"/>
      <c r="D8" s="140"/>
      <c r="E8" s="141"/>
      <c r="F8" s="141"/>
      <c r="G8" s="142"/>
      <c r="H8" s="142"/>
      <c r="I8" s="142"/>
      <c r="J8" s="141"/>
      <c r="K8" s="141"/>
      <c r="L8" s="141"/>
      <c r="M8" s="141"/>
      <c r="N8" s="143"/>
    </row>
    <row r="9" spans="2:21" ht="15.75" thickBot="1" x14ac:dyDescent="0.3">
      <c r="B9" s="144"/>
      <c r="C9" s="145"/>
      <c r="D9" s="146"/>
      <c r="E9" s="147"/>
      <c r="F9" s="148"/>
      <c r="G9" s="148"/>
      <c r="H9" s="148"/>
      <c r="I9" s="148"/>
      <c r="J9" s="147"/>
      <c r="K9" s="147"/>
      <c r="L9" s="147"/>
      <c r="M9" s="149"/>
      <c r="N9" s="150"/>
    </row>
  </sheetData>
  <mergeCells count="15">
    <mergeCell ref="B2:U2"/>
    <mergeCell ref="B5:B7"/>
    <mergeCell ref="C5:C7"/>
    <mergeCell ref="D5:D7"/>
    <mergeCell ref="E5:E7"/>
    <mergeCell ref="F5:F7"/>
    <mergeCell ref="G5:G7"/>
    <mergeCell ref="H5:H7"/>
    <mergeCell ref="I5:I7"/>
    <mergeCell ref="J5:N5"/>
    <mergeCell ref="J6:J7"/>
    <mergeCell ref="K6:K7"/>
    <mergeCell ref="L6:L7"/>
    <mergeCell ref="M6:M7"/>
    <mergeCell ref="N6:N7"/>
  </mergeCells>
  <pageMargins left="0.70866141732283472" right="0.70866141732283472" top="0.74803149606299213" bottom="0.74803149606299213" header="0.31496062992125984" footer="0.31496062992125984"/>
  <pageSetup paperSize="9" scale="58"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43"/>
  <sheetViews>
    <sheetView showGridLines="0" zoomScale="85" zoomScaleNormal="85" workbookViewId="0">
      <pane xSplit="1" ySplit="4" topLeftCell="B5" activePane="bottomRight" state="frozen"/>
      <selection pane="topRight" activeCell="B1" sqref="B1"/>
      <selection pane="bottomLeft" activeCell="A3" sqref="A3"/>
      <selection pane="bottomRight" sqref="A1:H1"/>
    </sheetView>
  </sheetViews>
  <sheetFormatPr baseColWidth="10" defaultRowHeight="16.5" x14ac:dyDescent="0.3"/>
  <cols>
    <col min="1" max="1" width="34.42578125" style="40" customWidth="1"/>
    <col min="2" max="29" width="16.140625" style="13" customWidth="1"/>
    <col min="30" max="43" width="16.42578125" style="13" customWidth="1"/>
    <col min="44" max="46" width="14.7109375" style="13" customWidth="1"/>
    <col min="47" max="47" width="2.5703125" style="13" customWidth="1"/>
    <col min="48" max="16384" width="11.42578125" style="13"/>
  </cols>
  <sheetData>
    <row r="1" spans="1:47" ht="30.75" customHeight="1" x14ac:dyDescent="0.3">
      <c r="A1" s="336" t="s">
        <v>106</v>
      </c>
      <c r="B1" s="336"/>
      <c r="C1" s="336"/>
      <c r="D1" s="336"/>
      <c r="E1" s="336"/>
      <c r="F1" s="336"/>
      <c r="G1" s="336"/>
      <c r="H1" s="336"/>
      <c r="AJ1" s="220"/>
      <c r="AK1" s="220"/>
      <c r="AL1" s="220"/>
      <c r="AM1" s="220"/>
      <c r="AN1" s="220"/>
      <c r="AO1" s="220"/>
      <c r="AP1" s="220"/>
      <c r="AQ1" s="220"/>
      <c r="AR1" s="220"/>
      <c r="AS1" s="288"/>
      <c r="AT1" s="288"/>
      <c r="AU1" s="220"/>
    </row>
    <row r="2" spans="1:47" ht="20.25" customHeight="1" x14ac:dyDescent="0.3">
      <c r="A2" s="158" t="s">
        <v>79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row>
    <row r="3" spans="1:47" x14ac:dyDescent="0.3">
      <c r="B3" s="57"/>
      <c r="C3" s="57"/>
      <c r="D3" s="57"/>
      <c r="E3" s="57"/>
      <c r="F3" s="57"/>
      <c r="G3" s="57"/>
      <c r="H3" s="57"/>
      <c r="I3" s="57"/>
      <c r="J3" s="57"/>
      <c r="K3" s="57"/>
      <c r="L3" s="57"/>
      <c r="M3" s="57"/>
      <c r="N3" s="57"/>
      <c r="O3" s="57"/>
      <c r="P3" s="57"/>
      <c r="Q3" s="57"/>
      <c r="R3" s="57"/>
      <c r="S3" s="57"/>
      <c r="T3" s="57"/>
      <c r="U3" s="5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row>
    <row r="4" spans="1:47" ht="30" customHeight="1" x14ac:dyDescent="0.3">
      <c r="A4" s="36"/>
      <c r="B4" s="184">
        <v>41729</v>
      </c>
      <c r="C4" s="184">
        <v>41820</v>
      </c>
      <c r="D4" s="184">
        <v>41912</v>
      </c>
      <c r="E4" s="184">
        <v>42004</v>
      </c>
      <c r="F4" s="184">
        <v>42094</v>
      </c>
      <c r="G4" s="184">
        <v>42185</v>
      </c>
      <c r="H4" s="184">
        <v>42277</v>
      </c>
      <c r="I4" s="184">
        <v>42369</v>
      </c>
      <c r="J4" s="184">
        <v>42460</v>
      </c>
      <c r="K4" s="184">
        <v>42551</v>
      </c>
      <c r="L4" s="184">
        <v>42643</v>
      </c>
      <c r="M4" s="184">
        <v>42735</v>
      </c>
      <c r="N4" s="184">
        <v>42825</v>
      </c>
      <c r="O4" s="184">
        <v>42916</v>
      </c>
      <c r="P4" s="184">
        <v>43008</v>
      </c>
      <c r="Q4" s="184">
        <v>43100</v>
      </c>
      <c r="R4" s="184">
        <v>43190</v>
      </c>
      <c r="S4" s="184">
        <v>43281</v>
      </c>
      <c r="T4" s="184">
        <v>43373</v>
      </c>
      <c r="U4" s="184">
        <v>43465</v>
      </c>
      <c r="V4" s="184">
        <v>43555</v>
      </c>
      <c r="W4" s="184">
        <v>43646</v>
      </c>
      <c r="X4" s="184">
        <v>43738</v>
      </c>
      <c r="Y4" s="184">
        <v>43830</v>
      </c>
      <c r="Z4" s="184">
        <v>43921</v>
      </c>
      <c r="AA4" s="184">
        <v>44012</v>
      </c>
      <c r="AB4" s="184">
        <v>44104</v>
      </c>
      <c r="AC4" s="184">
        <v>44196</v>
      </c>
      <c r="AD4" s="184">
        <v>44286</v>
      </c>
      <c r="AE4" s="184">
        <v>44377</v>
      </c>
      <c r="AF4" s="184">
        <v>44469</v>
      </c>
      <c r="AG4" s="184">
        <v>44561</v>
      </c>
      <c r="AH4" s="184">
        <v>44651</v>
      </c>
      <c r="AI4" s="184">
        <v>44742</v>
      </c>
      <c r="AJ4" s="184">
        <v>44834</v>
      </c>
      <c r="AK4" s="184">
        <v>44926</v>
      </c>
      <c r="AL4" s="184">
        <v>45016</v>
      </c>
      <c r="AM4" s="184">
        <v>45107</v>
      </c>
      <c r="AN4" s="184">
        <v>45199</v>
      </c>
      <c r="AO4" s="184">
        <v>45291</v>
      </c>
      <c r="AP4" s="184">
        <v>45382</v>
      </c>
      <c r="AQ4" s="184">
        <v>45473</v>
      </c>
      <c r="AR4" s="238">
        <v>45565</v>
      </c>
      <c r="AS4" s="238">
        <v>45656</v>
      </c>
      <c r="AT4" s="238">
        <v>45747</v>
      </c>
      <c r="AU4" s="239"/>
    </row>
    <row r="5" spans="1:47" ht="52.5" customHeight="1" x14ac:dyDescent="0.3">
      <c r="A5" s="185" t="s">
        <v>74</v>
      </c>
      <c r="B5" s="38">
        <v>8781.7199999999993</v>
      </c>
      <c r="C5" s="38">
        <v>8719.68</v>
      </c>
      <c r="D5" s="38">
        <v>8671.31</v>
      </c>
      <c r="E5" s="38">
        <v>9251.6200000000008</v>
      </c>
      <c r="F5" s="38">
        <v>8711.33</v>
      </c>
      <c r="G5" s="38">
        <v>8883.2999999999993</v>
      </c>
      <c r="H5" s="38">
        <v>8777.94</v>
      </c>
      <c r="I5" s="38">
        <v>14590.026342765899</v>
      </c>
      <c r="J5" s="38">
        <v>15552.766008292954</v>
      </c>
      <c r="K5" s="38">
        <v>23183.662216917499</v>
      </c>
      <c r="L5" s="38">
        <v>24968.595473778529</v>
      </c>
      <c r="M5" s="38">
        <v>26143.372847835599</v>
      </c>
      <c r="N5" s="38">
        <v>26357.580883104267</v>
      </c>
      <c r="O5" s="38">
        <v>32363.693825003349</v>
      </c>
      <c r="P5" s="38">
        <v>32739.973955860674</v>
      </c>
      <c r="Q5" s="38">
        <v>33066.920518488216</v>
      </c>
      <c r="R5" s="38">
        <v>35523.531142391745</v>
      </c>
      <c r="S5" s="38">
        <v>42512.097230935367</v>
      </c>
      <c r="T5" s="38">
        <v>49897.666266168861</v>
      </c>
      <c r="U5" s="38">
        <v>48061.669901665373</v>
      </c>
      <c r="V5" s="38">
        <v>54971.132794337202</v>
      </c>
      <c r="W5" s="38">
        <v>57477.574093920899</v>
      </c>
      <c r="X5" s="38">
        <v>70107.671098561274</v>
      </c>
      <c r="Y5" s="38">
        <v>73073.385231942695</v>
      </c>
      <c r="Z5" s="38">
        <v>76873.589091758549</v>
      </c>
      <c r="AA5" s="38">
        <v>81321.301084087594</v>
      </c>
      <c r="AB5" s="38">
        <v>87659.723356733972</v>
      </c>
      <c r="AC5" s="38">
        <v>98086.703607309493</v>
      </c>
      <c r="AD5" s="38">
        <v>105498.39985939959</v>
      </c>
      <c r="AE5" s="38">
        <v>104307.6114064088</v>
      </c>
      <c r="AF5" s="38">
        <v>109501.85230045371</v>
      </c>
      <c r="AG5" s="38">
        <v>118375.03408370932</v>
      </c>
      <c r="AH5" s="38">
        <v>125218.25101459341</v>
      </c>
      <c r="AI5" s="38">
        <v>136288.86474127742</v>
      </c>
      <c r="AJ5" s="38">
        <v>152793.80111647217</v>
      </c>
      <c r="AK5" s="38">
        <v>173744.05273852008</v>
      </c>
      <c r="AL5" s="38">
        <v>184002.77888037229</v>
      </c>
      <c r="AM5" s="38">
        <v>217722.16278989098</v>
      </c>
      <c r="AN5" s="38">
        <v>264718.17902564391</v>
      </c>
      <c r="AO5" s="38">
        <v>552742.441324963</v>
      </c>
      <c r="AP5" s="38">
        <v>603697.48009548953</v>
      </c>
      <c r="AQ5" s="38">
        <v>631573.63862050255</v>
      </c>
      <c r="AR5" s="264">
        <v>620637.8110705479</v>
      </c>
      <c r="AS5" s="264">
        <v>645034.90238757001</v>
      </c>
      <c r="AT5" s="264">
        <f>+'Servicios Deuda Anual'!F44*'Servicios Deuda Anual'!C50</f>
        <v>685074.16055742488</v>
      </c>
      <c r="AU5" s="230"/>
    </row>
    <row r="6" spans="1:47" ht="52.5" customHeight="1" x14ac:dyDescent="0.3">
      <c r="A6" s="185" t="s">
        <v>246</v>
      </c>
      <c r="B6" s="38">
        <v>814.06924421000008</v>
      </c>
      <c r="C6" s="38">
        <v>1334.7686670200001</v>
      </c>
      <c r="D6" s="38">
        <v>1606.3620389600001</v>
      </c>
      <c r="E6" s="38">
        <v>2059.9873684600002</v>
      </c>
      <c r="F6" s="38">
        <v>1532.2292152100001</v>
      </c>
      <c r="G6" s="38">
        <v>2787.2709622900002</v>
      </c>
      <c r="H6" s="38">
        <v>3436.8373112600002</v>
      </c>
      <c r="I6" s="38">
        <v>4751.3450329800007</v>
      </c>
      <c r="J6" s="38">
        <v>1748.5210195500001</v>
      </c>
      <c r="K6" s="44">
        <v>1979.8916584900003</v>
      </c>
      <c r="L6" s="44">
        <v>2005.6820979800002</v>
      </c>
      <c r="M6" s="44">
        <v>2713.09112757</v>
      </c>
      <c r="N6" s="44">
        <v>1455.4634681099999</v>
      </c>
      <c r="O6" s="44">
        <v>2358.1514273500002</v>
      </c>
      <c r="P6" s="44">
        <v>2403.9927246800003</v>
      </c>
      <c r="Q6" s="44">
        <v>3051.1866099200001</v>
      </c>
      <c r="R6" s="44">
        <v>2887.47474384</v>
      </c>
      <c r="S6" s="44">
        <v>2566.0700995500001</v>
      </c>
      <c r="T6" s="44">
        <v>2260.5505495299999</v>
      </c>
      <c r="U6" s="44">
        <v>5907.5229735200001</v>
      </c>
      <c r="V6" s="44">
        <v>2465.16920291</v>
      </c>
      <c r="W6" s="38">
        <v>4329.9503111499998</v>
      </c>
      <c r="X6" s="38">
        <v>4646.9381585399997</v>
      </c>
      <c r="Y6" s="38">
        <v>9439.5116885000007</v>
      </c>
      <c r="Z6" s="38">
        <v>3694.6763252000001</v>
      </c>
      <c r="AA6" s="38">
        <v>6793.2007236199997</v>
      </c>
      <c r="AB6" s="38">
        <v>7216.9493976200001</v>
      </c>
      <c r="AC6" s="38">
        <v>15771.225058290001</v>
      </c>
      <c r="AD6" s="38">
        <v>4714.8373600100003</v>
      </c>
      <c r="AE6" s="38">
        <v>8017.0700839199999</v>
      </c>
      <c r="AF6" s="38">
        <v>12560.355571530001</v>
      </c>
      <c r="AG6" s="38">
        <v>26355.928719810003</v>
      </c>
      <c r="AH6" s="86">
        <v>7068.6826936500001</v>
      </c>
      <c r="AI6" s="86">
        <v>12519.52704866</v>
      </c>
      <c r="AJ6" s="86">
        <v>14153.615796210001</v>
      </c>
      <c r="AK6" s="86">
        <v>50923.483293849997</v>
      </c>
      <c r="AL6" s="86">
        <v>16141.696247110001</v>
      </c>
      <c r="AM6" s="86">
        <v>26252.587002599998</v>
      </c>
      <c r="AN6" s="86">
        <v>64142.556503469998</v>
      </c>
      <c r="AO6" s="86">
        <f>149200.95760792-77622.2</f>
        <v>71578.757607919993</v>
      </c>
      <c r="AP6" s="86">
        <v>32108.222228099999</v>
      </c>
      <c r="AQ6" s="86">
        <v>50021.505171899997</v>
      </c>
      <c r="AR6" s="265">
        <v>65997.73</v>
      </c>
      <c r="AS6" s="265">
        <v>218772.87653246999</v>
      </c>
      <c r="AT6" s="265">
        <v>74748.467711670004</v>
      </c>
      <c r="AU6" s="269" t="s">
        <v>241</v>
      </c>
    </row>
    <row r="7" spans="1:47" ht="52.5" customHeight="1" x14ac:dyDescent="0.3">
      <c r="A7" s="185" t="s">
        <v>75</v>
      </c>
      <c r="B7" s="55">
        <f>+SUM(B5:B6)</f>
        <v>9595.7892442100001</v>
      </c>
      <c r="C7" s="55">
        <f t="shared" ref="C7:AH7" si="0">+SUM(C5:C6)</f>
        <v>10054.44866702</v>
      </c>
      <c r="D7" s="55">
        <f t="shared" si="0"/>
        <v>10277.67203896</v>
      </c>
      <c r="E7" s="55">
        <f t="shared" si="0"/>
        <v>11311.607368460001</v>
      </c>
      <c r="F7" s="55">
        <f t="shared" si="0"/>
        <v>10243.55921521</v>
      </c>
      <c r="G7" s="55">
        <f t="shared" si="0"/>
        <v>11670.570962289999</v>
      </c>
      <c r="H7" s="55">
        <f t="shared" si="0"/>
        <v>12214.777311260001</v>
      </c>
      <c r="I7" s="55">
        <f t="shared" si="0"/>
        <v>19341.371375745901</v>
      </c>
      <c r="J7" s="55">
        <f t="shared" si="0"/>
        <v>17301.287027842955</v>
      </c>
      <c r="K7" s="55">
        <f t="shared" si="0"/>
        <v>25163.553875407499</v>
      </c>
      <c r="L7" s="55">
        <f t="shared" si="0"/>
        <v>26974.277571758528</v>
      </c>
      <c r="M7" s="55">
        <f t="shared" si="0"/>
        <v>28856.463975405597</v>
      </c>
      <c r="N7" s="55">
        <f t="shared" si="0"/>
        <v>27813.044351214266</v>
      </c>
      <c r="O7" s="55">
        <f t="shared" si="0"/>
        <v>34721.845252353349</v>
      </c>
      <c r="P7" s="55">
        <f t="shared" si="0"/>
        <v>35143.966680540674</v>
      </c>
      <c r="Q7" s="55">
        <f t="shared" si="0"/>
        <v>36118.107128408214</v>
      </c>
      <c r="R7" s="55">
        <f t="shared" si="0"/>
        <v>38411.005886231746</v>
      </c>
      <c r="S7" s="55">
        <f t="shared" si="0"/>
        <v>45078.167330485368</v>
      </c>
      <c r="T7" s="55">
        <f t="shared" si="0"/>
        <v>52158.216815698863</v>
      </c>
      <c r="U7" s="55">
        <f t="shared" si="0"/>
        <v>53969.19287518537</v>
      </c>
      <c r="V7" s="55">
        <f t="shared" si="0"/>
        <v>57436.301997247203</v>
      </c>
      <c r="W7" s="55">
        <f t="shared" si="0"/>
        <v>61807.524405070901</v>
      </c>
      <c r="X7" s="55">
        <f t="shared" si="0"/>
        <v>74754.60925710127</v>
      </c>
      <c r="Y7" s="55">
        <f t="shared" si="0"/>
        <v>82512.896920442698</v>
      </c>
      <c r="Z7" s="55">
        <f t="shared" si="0"/>
        <v>80568.265416958544</v>
      </c>
      <c r="AA7" s="55">
        <f t="shared" si="0"/>
        <v>88114.501807707595</v>
      </c>
      <c r="AB7" s="55">
        <f t="shared" si="0"/>
        <v>94876.672754353975</v>
      </c>
      <c r="AC7" s="55">
        <f t="shared" si="0"/>
        <v>113857.92866559949</v>
      </c>
      <c r="AD7" s="55">
        <f t="shared" si="0"/>
        <v>110213.2372194096</v>
      </c>
      <c r="AE7" s="55">
        <f t="shared" si="0"/>
        <v>112324.6814903288</v>
      </c>
      <c r="AF7" s="55">
        <f t="shared" si="0"/>
        <v>122062.20787198372</v>
      </c>
      <c r="AG7" s="55">
        <f t="shared" si="0"/>
        <v>144730.96280351933</v>
      </c>
      <c r="AH7" s="55">
        <f t="shared" si="0"/>
        <v>132286.93370824342</v>
      </c>
      <c r="AI7" s="55">
        <f t="shared" ref="AI7:AQ7" si="1">+SUM(AI5:AI6)</f>
        <v>148808.39178993742</v>
      </c>
      <c r="AJ7" s="55">
        <f t="shared" si="1"/>
        <v>166947.41691268218</v>
      </c>
      <c r="AK7" s="55">
        <f t="shared" si="1"/>
        <v>224667.53603237009</v>
      </c>
      <c r="AL7" s="55">
        <f t="shared" si="1"/>
        <v>200144.47512748229</v>
      </c>
      <c r="AM7" s="55">
        <f t="shared" si="1"/>
        <v>243974.74979249097</v>
      </c>
      <c r="AN7" s="55">
        <f t="shared" si="1"/>
        <v>328860.73552911391</v>
      </c>
      <c r="AO7" s="55">
        <f t="shared" si="1"/>
        <v>624321.19893288298</v>
      </c>
      <c r="AP7" s="55">
        <f t="shared" si="1"/>
        <v>635805.70232358947</v>
      </c>
      <c r="AQ7" s="55">
        <f t="shared" si="1"/>
        <v>681595.14379240258</v>
      </c>
      <c r="AR7" s="266">
        <f t="shared" ref="AR7:AS7" si="2">+SUM(AR5:AR6)</f>
        <v>686635.54107054789</v>
      </c>
      <c r="AS7" s="266">
        <f t="shared" si="2"/>
        <v>863807.77892004</v>
      </c>
      <c r="AT7" s="266">
        <f t="shared" ref="AT7" si="3">+SUM(AT5:AT6)</f>
        <v>759822.62826909486</v>
      </c>
      <c r="AU7" s="232"/>
    </row>
    <row r="8" spans="1:47" ht="52.5" customHeight="1" x14ac:dyDescent="0.3">
      <c r="A8" s="185" t="s">
        <v>257</v>
      </c>
      <c r="B8" s="39">
        <v>177.86143399130464</v>
      </c>
      <c r="C8" s="39">
        <v>163.39996891134851</v>
      </c>
      <c r="D8" s="39">
        <v>153.55275005356953</v>
      </c>
      <c r="E8" s="39">
        <v>144.97172024768102</v>
      </c>
      <c r="F8" s="39">
        <v>137.98498011578539</v>
      </c>
      <c r="G8" s="39">
        <v>130.23325019425405</v>
      </c>
      <c r="H8" s="39">
        <v>123.53687500988201</v>
      </c>
      <c r="I8" s="39">
        <v>115.62762681502365</v>
      </c>
      <c r="J8" s="39">
        <v>101.46412052036558</v>
      </c>
      <c r="K8" s="39">
        <v>91.466262334550876</v>
      </c>
      <c r="L8" s="39">
        <v>87.593056030322842</v>
      </c>
      <c r="M8" s="39">
        <v>83.326637967636955</v>
      </c>
      <c r="N8" s="39">
        <v>78.444852863749503</v>
      </c>
      <c r="O8" s="39">
        <v>74.434717021903182</v>
      </c>
      <c r="P8" s="39">
        <v>70.834111333313416</v>
      </c>
      <c r="Q8" s="39">
        <v>66.754383161653564</v>
      </c>
      <c r="R8" s="39">
        <v>62.59741784372239</v>
      </c>
      <c r="S8" s="39">
        <v>57.568044419947078</v>
      </c>
      <c r="T8" s="39">
        <v>50.461209533123068</v>
      </c>
      <c r="U8" s="39">
        <v>45.215775848276245</v>
      </c>
      <c r="V8" s="39">
        <v>40.432498327708053</v>
      </c>
      <c r="W8" s="39">
        <v>36.930137923457913</v>
      </c>
      <c r="X8" s="39">
        <v>32.809584793952233</v>
      </c>
      <c r="Y8" s="39">
        <v>29.365496497402631</v>
      </c>
      <c r="Z8" s="39">
        <v>27.243394613562746</v>
      </c>
      <c r="AA8" s="39">
        <v>25.874873830415751</v>
      </c>
      <c r="AB8" s="39">
        <v>24.051407607909709</v>
      </c>
      <c r="AC8" s="39">
        <v>21.58887980495432</v>
      </c>
      <c r="AD8" s="39">
        <v>19.119464795965964</v>
      </c>
      <c r="AE8" s="39">
        <v>17.228401440629845</v>
      </c>
      <c r="AF8" s="39">
        <v>15.766799425396327</v>
      </c>
      <c r="AG8" s="39">
        <v>14.317987342669454</v>
      </c>
      <c r="AH8" s="39">
        <v>12.335459322653106</v>
      </c>
      <c r="AI8" s="39">
        <v>10.515220231704292</v>
      </c>
      <c r="AJ8" s="39">
        <v>8.6160021215031364</v>
      </c>
      <c r="AK8" s="39">
        <v>7.3518109116398307</v>
      </c>
      <c r="AL8" s="39">
        <v>6.0410934683744983</v>
      </c>
      <c r="AM8" s="39">
        <v>4.8770998479189416</v>
      </c>
      <c r="AN8" s="39">
        <v>3.6219141755293576</v>
      </c>
      <c r="AO8" s="39">
        <v>2.3624187072782181</v>
      </c>
      <c r="AP8" s="39">
        <v>1.5589786210965846</v>
      </c>
      <c r="AQ8" s="39">
        <v>1.3146551913672613</v>
      </c>
      <c r="AR8" s="267">
        <v>1.1721156176442815</v>
      </c>
      <c r="AS8" s="267">
        <v>1.0852495359999998</v>
      </c>
      <c r="AT8" s="267">
        <v>1</v>
      </c>
      <c r="AU8" s="233"/>
    </row>
    <row r="9" spans="1:47" ht="52.5" customHeight="1" x14ac:dyDescent="0.3">
      <c r="A9" s="185" t="s">
        <v>258</v>
      </c>
      <c r="B9" s="186">
        <f>+B7*B8</f>
        <v>1706720.8352535279</v>
      </c>
      <c r="C9" s="186">
        <f t="shared" ref="C9:AH9" si="4">+C7*C8</f>
        <v>1642896.5996118176</v>
      </c>
      <c r="D9" s="186">
        <f t="shared" si="4"/>
        <v>1578164.805730985</v>
      </c>
      <c r="E9" s="186">
        <f t="shared" si="4"/>
        <v>1639863.1789719907</v>
      </c>
      <c r="F9" s="186">
        <f t="shared" si="4"/>
        <v>1413457.314625622</v>
      </c>
      <c r="G9" s="186">
        <f t="shared" si="4"/>
        <v>1519896.3880417098</v>
      </c>
      <c r="H9" s="186">
        <f t="shared" si="4"/>
        <v>1508975.4179746693</v>
      </c>
      <c r="I9" s="186">
        <f t="shared" si="4"/>
        <v>2236396.8715255274</v>
      </c>
      <c r="J9" s="186">
        <f t="shared" si="4"/>
        <v>1755459.8721504952</v>
      </c>
      <c r="K9" s="186">
        <f t="shared" si="4"/>
        <v>2301616.2200376266</v>
      </c>
      <c r="L9" s="186">
        <f t="shared" si="4"/>
        <v>2362759.4067205256</v>
      </c>
      <c r="M9" s="186">
        <f t="shared" si="4"/>
        <v>2404512.1267047799</v>
      </c>
      <c r="N9" s="186">
        <f t="shared" si="4"/>
        <v>2181790.1718239426</v>
      </c>
      <c r="O9" s="186">
        <f t="shared" si="4"/>
        <v>2584510.7258372339</v>
      </c>
      <c r="P9" s="186">
        <f t="shared" si="4"/>
        <v>2489391.6485436754</v>
      </c>
      <c r="Q9" s="186">
        <f t="shared" si="4"/>
        <v>2411041.9623234128</v>
      </c>
      <c r="R9" s="186">
        <f t="shared" si="4"/>
        <v>2404429.7852581288</v>
      </c>
      <c r="S9" s="186">
        <f t="shared" si="4"/>
        <v>2595061.9392511891</v>
      </c>
      <c r="T9" s="186">
        <f t="shared" si="4"/>
        <v>2631966.7076110435</v>
      </c>
      <c r="U9" s="186">
        <f t="shared" si="4"/>
        <v>2440258.9277567691</v>
      </c>
      <c r="V9" s="186">
        <f t="shared" si="4"/>
        <v>2322293.1844534324</v>
      </c>
      <c r="W9" s="186">
        <f t="shared" si="4"/>
        <v>2282560.4009867595</v>
      </c>
      <c r="X9" s="186">
        <f t="shared" si="4"/>
        <v>2452667.6911596307</v>
      </c>
      <c r="Y9" s="186">
        <f t="shared" si="4"/>
        <v>2423032.1855078046</v>
      </c>
      <c r="Z9" s="186">
        <f t="shared" si="4"/>
        <v>2194953.0480844621</v>
      </c>
      <c r="AA9" s="186">
        <f t="shared" si="4"/>
        <v>2279951.6169043747</v>
      </c>
      <c r="AB9" s="186">
        <f t="shared" si="4"/>
        <v>2281917.5288972291</v>
      </c>
      <c r="AC9" s="186">
        <f t="shared" si="4"/>
        <v>2458065.1368026906</v>
      </c>
      <c r="AD9" s="186">
        <f t="shared" si="4"/>
        <v>2107218.1090659476</v>
      </c>
      <c r="AE9" s="186">
        <f t="shared" si="4"/>
        <v>1935174.7044062694</v>
      </c>
      <c r="AF9" s="186">
        <f t="shared" si="4"/>
        <v>1924530.3489385999</v>
      </c>
      <c r="AG9" s="186">
        <f t="shared" si="4"/>
        <v>2072256.0935131533</v>
      </c>
      <c r="AH9" s="186">
        <f t="shared" si="4"/>
        <v>1631820.0896765448</v>
      </c>
      <c r="AI9" s="186">
        <f t="shared" ref="AI9:AQ9" si="5">+AI7*AI8</f>
        <v>1564753.0119969288</v>
      </c>
      <c r="AJ9" s="186">
        <f t="shared" si="5"/>
        <v>1438419.2982991382</v>
      </c>
      <c r="AK9" s="186">
        <f t="shared" si="5"/>
        <v>1651713.2428940132</v>
      </c>
      <c r="AL9" s="186">
        <f t="shared" si="5"/>
        <v>1209091.4814238755</v>
      </c>
      <c r="AM9" s="186">
        <f t="shared" si="5"/>
        <v>1189889.2151090195</v>
      </c>
      <c r="AN9" s="186">
        <f t="shared" si="5"/>
        <v>1191105.3597879086</v>
      </c>
      <c r="AO9" s="186">
        <f t="shared" si="5"/>
        <v>1474908.0797094086</v>
      </c>
      <c r="AP9" s="186">
        <f t="shared" si="5"/>
        <v>991207.49709377508</v>
      </c>
      <c r="AQ9" s="186">
        <f t="shared" si="5"/>
        <v>896062.594197397</v>
      </c>
      <c r="AR9" s="268">
        <f t="shared" ref="AR9" si="6">+AR7*AR8</f>
        <v>804816.24131842062</v>
      </c>
      <c r="AS9" s="268">
        <f>+AS7*AS8</f>
        <v>937446.99126616388</v>
      </c>
      <c r="AT9" s="268">
        <f>+AT7*AT8</f>
        <v>759822.62826909486</v>
      </c>
      <c r="AU9" s="234"/>
    </row>
    <row r="10" spans="1:47" ht="52.5" customHeight="1" x14ac:dyDescent="0.3">
      <c r="A10" s="185" t="s">
        <v>76</v>
      </c>
      <c r="B10" s="39">
        <v>8.0098000000000003</v>
      </c>
      <c r="C10" s="39">
        <v>8.1326999999999998</v>
      </c>
      <c r="D10" s="39">
        <v>8.4642999999999997</v>
      </c>
      <c r="E10" s="39">
        <v>8.5519999999999996</v>
      </c>
      <c r="F10" s="39">
        <v>8.8196999999999992</v>
      </c>
      <c r="G10" s="39">
        <v>9.0864999999999991</v>
      </c>
      <c r="H10" s="39">
        <v>9.4192</v>
      </c>
      <c r="I10" s="39">
        <v>13.005000000000001</v>
      </c>
      <c r="J10" s="39">
        <v>14.5817</v>
      </c>
      <c r="K10" s="39">
        <v>14.92</v>
      </c>
      <c r="L10" s="39">
        <v>15.263299999999999</v>
      </c>
      <c r="M10" s="39">
        <v>15.850199999999999</v>
      </c>
      <c r="N10" s="39">
        <v>15.3818</v>
      </c>
      <c r="O10" s="39">
        <v>16.598500000000001</v>
      </c>
      <c r="P10" s="39">
        <v>17.318300000000001</v>
      </c>
      <c r="Q10" s="39">
        <v>18.7742</v>
      </c>
      <c r="R10" s="39">
        <v>20.1433</v>
      </c>
      <c r="S10" s="39">
        <v>28.861699999999999</v>
      </c>
      <c r="T10" s="39">
        <v>40.896700000000003</v>
      </c>
      <c r="U10" s="39">
        <v>37.808300000000003</v>
      </c>
      <c r="V10" s="39">
        <v>43.353299999999997</v>
      </c>
      <c r="W10" s="39">
        <v>42.448300000000003</v>
      </c>
      <c r="X10" s="39">
        <v>57.558300000000003</v>
      </c>
      <c r="Y10" s="39">
        <v>59.895000000000003</v>
      </c>
      <c r="Z10" s="39">
        <v>64.469700000000003</v>
      </c>
      <c r="AA10" s="39">
        <v>70.454999999999998</v>
      </c>
      <c r="AB10" s="39">
        <v>76.174999999999997</v>
      </c>
      <c r="AC10" s="39">
        <v>84.144999999999996</v>
      </c>
      <c r="AD10" s="39">
        <v>91.984999999999999</v>
      </c>
      <c r="AE10" s="39">
        <v>95.726699999999994</v>
      </c>
      <c r="AF10" s="39">
        <v>98.734999999999999</v>
      </c>
      <c r="AG10" s="39">
        <v>102.75</v>
      </c>
      <c r="AH10" s="39">
        <v>110.9783</v>
      </c>
      <c r="AI10" s="39">
        <v>125.215</v>
      </c>
      <c r="AJ10" s="39">
        <v>147.315</v>
      </c>
      <c r="AK10" s="39">
        <v>177.1283</v>
      </c>
      <c r="AL10" s="39">
        <v>208.98830000000001</v>
      </c>
      <c r="AM10" s="39">
        <v>256.67500000000001</v>
      </c>
      <c r="AN10" s="39">
        <v>350.00830000000002</v>
      </c>
      <c r="AO10" s="39">
        <v>808.48329999999999</v>
      </c>
      <c r="AP10" s="39">
        <v>857.41669999999999</v>
      </c>
      <c r="AQ10" s="39">
        <v>911.75</v>
      </c>
      <c r="AR10" s="267">
        <v>970.91669999999999</v>
      </c>
      <c r="AS10" s="267">
        <v>1032.5</v>
      </c>
      <c r="AT10" s="267">
        <f>+'Servicios Deuda Anual'!C50</f>
        <v>1073.875</v>
      </c>
      <c r="AU10" s="233"/>
    </row>
    <row r="11" spans="1:47" ht="52.5" customHeight="1" x14ac:dyDescent="0.3">
      <c r="A11" s="185" t="s">
        <v>77</v>
      </c>
      <c r="B11" s="186">
        <f>+B7/B10</f>
        <v>1198.0060980561311</v>
      </c>
      <c r="C11" s="186">
        <f t="shared" ref="C11:AH11" si="7">+C7/C10</f>
        <v>1236.2989741438882</v>
      </c>
      <c r="D11" s="186">
        <f t="shared" si="7"/>
        <v>1214.2376852143709</v>
      </c>
      <c r="E11" s="186">
        <f t="shared" si="7"/>
        <v>1322.6856137114128</v>
      </c>
      <c r="F11" s="186">
        <f t="shared" si="7"/>
        <v>1161.440776354071</v>
      </c>
      <c r="G11" s="186">
        <f t="shared" si="7"/>
        <v>1284.3857329323723</v>
      </c>
      <c r="H11" s="186">
        <f t="shared" si="7"/>
        <v>1296.7956207809582</v>
      </c>
      <c r="I11" s="186">
        <f t="shared" si="7"/>
        <v>1487.2257882157555</v>
      </c>
      <c r="J11" s="186">
        <f t="shared" si="7"/>
        <v>1186.5068563914328</v>
      </c>
      <c r="K11" s="186">
        <f t="shared" si="7"/>
        <v>1686.5652731506366</v>
      </c>
      <c r="L11" s="186">
        <f t="shared" si="7"/>
        <v>1767.2638008660335</v>
      </c>
      <c r="M11" s="186">
        <f t="shared" si="7"/>
        <v>1820.5741236959532</v>
      </c>
      <c r="N11" s="186">
        <f t="shared" si="7"/>
        <v>1808.1787795455841</v>
      </c>
      <c r="O11" s="186">
        <f t="shared" si="7"/>
        <v>2091.8664489172725</v>
      </c>
      <c r="P11" s="186">
        <f t="shared" si="7"/>
        <v>2029.2965637817033</v>
      </c>
      <c r="Q11" s="186">
        <f t="shared" si="7"/>
        <v>1923.8160416107323</v>
      </c>
      <c r="R11" s="186">
        <f t="shared" si="7"/>
        <v>1906.8874457626976</v>
      </c>
      <c r="S11" s="186">
        <f t="shared" si="7"/>
        <v>1561.8680580314178</v>
      </c>
      <c r="T11" s="186">
        <f t="shared" si="7"/>
        <v>1275.3649271383476</v>
      </c>
      <c r="U11" s="186">
        <f t="shared" si="7"/>
        <v>1427.4429920198836</v>
      </c>
      <c r="V11" s="186">
        <f t="shared" si="7"/>
        <v>1324.8426762725608</v>
      </c>
      <c r="W11" s="186">
        <f t="shared" si="7"/>
        <v>1456.06595329073</v>
      </c>
      <c r="X11" s="186">
        <f t="shared" si="7"/>
        <v>1298.7633279145018</v>
      </c>
      <c r="Y11" s="186">
        <f t="shared" si="7"/>
        <v>1377.625793813218</v>
      </c>
      <c r="Z11" s="186">
        <f t="shared" si="7"/>
        <v>1249.7074659407217</v>
      </c>
      <c r="AA11" s="186">
        <f t="shared" si="7"/>
        <v>1250.6493763069705</v>
      </c>
      <c r="AB11" s="186">
        <f t="shared" si="7"/>
        <v>1245.5093239823298</v>
      </c>
      <c r="AC11" s="186">
        <f t="shared" si="7"/>
        <v>1353.1157961328599</v>
      </c>
      <c r="AD11" s="186">
        <f t="shared" si="7"/>
        <v>1198.165322817955</v>
      </c>
      <c r="AE11" s="186">
        <f t="shared" si="7"/>
        <v>1173.3892580683216</v>
      </c>
      <c r="AF11" s="186">
        <f t="shared" si="7"/>
        <v>1236.2607775559195</v>
      </c>
      <c r="AG11" s="186">
        <f t="shared" si="7"/>
        <v>1408.5738472361979</v>
      </c>
      <c r="AH11" s="186">
        <f t="shared" si="7"/>
        <v>1192.0072095918158</v>
      </c>
      <c r="AI11" s="186">
        <f t="shared" ref="AI11:AQ11" si="8">+AI7/AI10</f>
        <v>1188.423046679211</v>
      </c>
      <c r="AJ11" s="186">
        <f t="shared" si="8"/>
        <v>1133.2682816595877</v>
      </c>
      <c r="AK11" s="186">
        <f t="shared" si="8"/>
        <v>1268.388710513058</v>
      </c>
      <c r="AL11" s="186">
        <f t="shared" si="8"/>
        <v>957.68267949680569</v>
      </c>
      <c r="AM11" s="186">
        <f t="shared" si="8"/>
        <v>950.52011217489417</v>
      </c>
      <c r="AN11" s="186">
        <f t="shared" si="8"/>
        <v>939.57982004744997</v>
      </c>
      <c r="AO11" s="186">
        <f t="shared" si="8"/>
        <v>772.21285700382805</v>
      </c>
      <c r="AP11" s="186">
        <f t="shared" si="8"/>
        <v>741.53641085319362</v>
      </c>
      <c r="AQ11" s="186">
        <f t="shared" si="8"/>
        <v>747.56802170814649</v>
      </c>
      <c r="AR11" s="268">
        <f t="shared" ref="AR11:AS11" si="9">+AR7/AR10</f>
        <v>707.20334820747019</v>
      </c>
      <c r="AS11" s="268">
        <f t="shared" si="9"/>
        <v>836.61770355451813</v>
      </c>
      <c r="AT11" s="268">
        <f t="shared" ref="AT11" si="10">+AT7/AT10</f>
        <v>707.55220884096832</v>
      </c>
      <c r="AU11" s="234"/>
    </row>
    <row r="12" spans="1:47" ht="52.5" customHeight="1" x14ac:dyDescent="0.3">
      <c r="A12" s="185" t="s">
        <v>78</v>
      </c>
      <c r="B12" s="38">
        <v>314.46720625</v>
      </c>
      <c r="C12" s="38">
        <v>478.86095885000003</v>
      </c>
      <c r="D12" s="38">
        <v>474.58328738</v>
      </c>
      <c r="E12" s="38">
        <v>778.12609504</v>
      </c>
      <c r="F12" s="38">
        <v>718.73022808000007</v>
      </c>
      <c r="G12" s="38">
        <v>1298.8367923699998</v>
      </c>
      <c r="H12" s="38">
        <v>1625.11270541</v>
      </c>
      <c r="I12" s="38">
        <v>1674.58950392</v>
      </c>
      <c r="J12" s="38">
        <v>618.91159517999995</v>
      </c>
      <c r="K12" s="44">
        <v>722.13102017999995</v>
      </c>
      <c r="L12" s="38">
        <v>633.77258883000002</v>
      </c>
      <c r="M12" s="44">
        <v>935.87173382000003</v>
      </c>
      <c r="N12" s="38">
        <v>698.34998707</v>
      </c>
      <c r="O12" s="44">
        <v>879.25538699000003</v>
      </c>
      <c r="P12" s="38">
        <v>836.87532364999993</v>
      </c>
      <c r="Q12" s="44">
        <v>898.69213680999997</v>
      </c>
      <c r="R12" s="44">
        <v>1153.66550927</v>
      </c>
      <c r="S12" s="44">
        <v>1117.7619162000001</v>
      </c>
      <c r="T12" s="44">
        <v>973.22907361</v>
      </c>
      <c r="U12" s="44">
        <v>2081.8590620999998</v>
      </c>
      <c r="V12" s="44">
        <v>1166.28844142</v>
      </c>
      <c r="W12" s="38">
        <v>1994.24181458</v>
      </c>
      <c r="X12" s="38">
        <v>1582.17197738</v>
      </c>
      <c r="Y12" s="38">
        <v>3973.4916769800002</v>
      </c>
      <c r="Z12" s="38">
        <v>1829.54825347</v>
      </c>
      <c r="AA12" s="38">
        <v>1967.2654723000001</v>
      </c>
      <c r="AB12" s="38">
        <v>2306.01199004</v>
      </c>
      <c r="AC12" s="38">
        <v>4480.3689031499998</v>
      </c>
      <c r="AD12" s="38">
        <v>1986.7844765499999</v>
      </c>
      <c r="AE12" s="38">
        <v>3455.3547898900001</v>
      </c>
      <c r="AF12" s="38">
        <v>3173.6009410000001</v>
      </c>
      <c r="AG12" s="38">
        <v>5889.6617611599995</v>
      </c>
      <c r="AH12" s="86">
        <v>3272.58093147</v>
      </c>
      <c r="AI12" s="38">
        <f>4275.84906046+226.21680951</f>
        <v>4502.0658699699998</v>
      </c>
      <c r="AJ12" s="38">
        <v>5201.9054230399997</v>
      </c>
      <c r="AK12" s="38">
        <v>15849.07698921</v>
      </c>
      <c r="AL12" s="38">
        <v>6932.1063246499998</v>
      </c>
      <c r="AM12" s="38">
        <v>9414.13902762</v>
      </c>
      <c r="AN12" s="38">
        <v>7973.2664187500004</v>
      </c>
      <c r="AO12" s="38">
        <v>26319.3699576</v>
      </c>
      <c r="AP12" s="38">
        <v>20209.139166950001</v>
      </c>
      <c r="AQ12" s="38">
        <v>30219.134387059999</v>
      </c>
      <c r="AR12" s="264">
        <v>35409.546910670048</v>
      </c>
      <c r="AS12" s="264">
        <v>93742.170504979993</v>
      </c>
      <c r="AT12" s="264">
        <v>39749.093046549999</v>
      </c>
      <c r="AU12" s="231" t="s">
        <v>241</v>
      </c>
    </row>
    <row r="13" spans="1:47" ht="52.5" customHeight="1" x14ac:dyDescent="0.3">
      <c r="A13" s="185" t="s">
        <v>259</v>
      </c>
      <c r="B13" s="55">
        <f>SUM(B7,B12)*B8</f>
        <v>1762652.4235003921</v>
      </c>
      <c r="C13" s="55">
        <f t="shared" ref="C13:AH13" si="11">SUM(C7,C12)*C8</f>
        <v>1721142.4654007661</v>
      </c>
      <c r="D13" s="55">
        <f t="shared" si="11"/>
        <v>1651038.3746376478</v>
      </c>
      <c r="E13" s="55">
        <f t="shared" si="11"/>
        <v>1752669.4575395498</v>
      </c>
      <c r="F13" s="55">
        <f t="shared" si="11"/>
        <v>1512631.2908558547</v>
      </c>
      <c r="G13" s="55">
        <f t="shared" si="11"/>
        <v>1689048.1249839342</v>
      </c>
      <c r="H13" s="55">
        <f t="shared" si="11"/>
        <v>1709736.7631398756</v>
      </c>
      <c r="I13" s="55">
        <f t="shared" si="11"/>
        <v>2430025.6817531451</v>
      </c>
      <c r="J13" s="55">
        <f t="shared" si="11"/>
        <v>1818257.1928352905</v>
      </c>
      <c r="K13" s="55">
        <f t="shared" si="11"/>
        <v>2367666.8453693273</v>
      </c>
      <c r="L13" s="55">
        <f t="shared" si="11"/>
        <v>2418273.4846043945</v>
      </c>
      <c r="M13" s="55">
        <f t="shared" si="11"/>
        <v>2482495.171852944</v>
      </c>
      <c r="N13" s="55">
        <f t="shared" si="11"/>
        <v>2236572.1338070501</v>
      </c>
      <c r="O13" s="55">
        <f t="shared" si="11"/>
        <v>2649957.8517578188</v>
      </c>
      <c r="P13" s="55">
        <f t="shared" si="11"/>
        <v>2548670.9683912019</v>
      </c>
      <c r="Q13" s="55">
        <f t="shared" si="11"/>
        <v>2471033.6015683929</v>
      </c>
      <c r="R13" s="55">
        <f t="shared" si="11"/>
        <v>2476646.2671937938</v>
      </c>
      <c r="S13" s="55">
        <f t="shared" si="11"/>
        <v>2659409.3068939154</v>
      </c>
      <c r="T13" s="55">
        <f t="shared" si="11"/>
        <v>2681077.0238182046</v>
      </c>
      <c r="U13" s="55">
        <f t="shared" si="11"/>
        <v>2534391.8004563851</v>
      </c>
      <c r="V13" s="55">
        <f t="shared" si="11"/>
        <v>2369449.1399107715</v>
      </c>
      <c r="W13" s="55">
        <f t="shared" si="11"/>
        <v>2356208.0262519256</v>
      </c>
      <c r="X13" s="55">
        <f t="shared" si="11"/>
        <v>2504578.096810095</v>
      </c>
      <c r="Y13" s="55">
        <f t="shared" si="11"/>
        <v>2539715.7414306193</v>
      </c>
      <c r="Z13" s="55">
        <f t="shared" si="11"/>
        <v>2244796.1531182998</v>
      </c>
      <c r="AA13" s="55">
        <f t="shared" si="11"/>
        <v>2330854.3627910702</v>
      </c>
      <c r="AB13" s="55">
        <f t="shared" si="11"/>
        <v>2337380.3632184081</v>
      </c>
      <c r="AC13" s="55">
        <f t="shared" si="11"/>
        <v>2554791.282534651</v>
      </c>
      <c r="AD13" s="55">
        <f t="shared" si="11"/>
        <v>2145204.364922517</v>
      </c>
      <c r="AE13" s="55">
        <f t="shared" si="11"/>
        <v>1994704.9438462975</v>
      </c>
      <c r="AF13" s="55">
        <f t="shared" si="11"/>
        <v>1974567.8784315959</v>
      </c>
      <c r="AG13" s="55">
        <f t="shared" si="11"/>
        <v>2156584.1960620466</v>
      </c>
      <c r="AH13" s="55">
        <f t="shared" si="11"/>
        <v>1672188.8786367832</v>
      </c>
      <c r="AI13" s="55">
        <f t="shared" ref="AI13:AQ13" si="12">SUM(AI7,AI12)*AI8</f>
        <v>1612093.2261173027</v>
      </c>
      <c r="AJ13" s="55">
        <f t="shared" si="12"/>
        <v>1483238.9264599096</v>
      </c>
      <c r="AK13" s="55">
        <f t="shared" si="12"/>
        <v>1768232.6600427071</v>
      </c>
      <c r="AL13" s="55">
        <f t="shared" si="12"/>
        <v>1250968.9836637962</v>
      </c>
      <c r="AM13" s="55">
        <f t="shared" si="12"/>
        <v>1235802.9111289128</v>
      </c>
      <c r="AN13" s="55">
        <f t="shared" si="12"/>
        <v>1219983.8464552516</v>
      </c>
      <c r="AO13" s="55">
        <f t="shared" si="12"/>
        <v>1537085.4516610194</v>
      </c>
      <c r="AP13" s="55">
        <f t="shared" si="12"/>
        <v>1022713.1130058158</v>
      </c>
      <c r="AQ13" s="55">
        <f t="shared" si="12"/>
        <v>935790.33609797026</v>
      </c>
      <c r="AR13" s="266">
        <f t="shared" ref="AR13:AS13" si="13">SUM(AR7,AR12)*AR8</f>
        <v>846320.32426612475</v>
      </c>
      <c r="AS13" s="266">
        <f t="shared" si="13"/>
        <v>1039180.6383103263</v>
      </c>
      <c r="AT13" s="266">
        <f t="shared" ref="AT13" si="14">SUM(AT7,AT12)*AT8</f>
        <v>799571.72131564491</v>
      </c>
      <c r="AU13" s="232"/>
    </row>
    <row r="14" spans="1:47" ht="52.5" customHeight="1" x14ac:dyDescent="0.3">
      <c r="A14" s="185" t="s">
        <v>239</v>
      </c>
      <c r="B14" s="63">
        <v>6.9569626488586028E-2</v>
      </c>
      <c r="C14" s="63">
        <v>7.2894914687221229E-2</v>
      </c>
      <c r="D14" s="63">
        <v>7.4513287727120875E-2</v>
      </c>
      <c r="E14" s="63">
        <v>8.2009335509753284E-2</v>
      </c>
      <c r="F14" s="63">
        <v>5.7632439891325229E-2</v>
      </c>
      <c r="G14" s="63">
        <v>6.5661111079723014E-2</v>
      </c>
      <c r="H14" s="63">
        <v>6.8722931589231165E-2</v>
      </c>
      <c r="I14" s="63">
        <v>0.10881866349474918</v>
      </c>
      <c r="J14" s="63">
        <v>7.5761225026993492E-2</v>
      </c>
      <c r="K14" s="63">
        <v>0.11018958673800497</v>
      </c>
      <c r="L14" s="63">
        <v>0.11811862954275076</v>
      </c>
      <c r="M14" s="63">
        <v>0.12636060295432253</v>
      </c>
      <c r="N14" s="63">
        <v>9.4456590857396272E-2</v>
      </c>
      <c r="O14" s="63">
        <v>0.11791974619535604</v>
      </c>
      <c r="P14" s="63">
        <v>0.11935332356757525</v>
      </c>
      <c r="Q14" s="63">
        <v>0.12266162684282775</v>
      </c>
      <c r="R14" s="63">
        <v>9.1986307519047031E-2</v>
      </c>
      <c r="S14" s="63">
        <v>0.10795276163135857</v>
      </c>
      <c r="T14" s="63">
        <v>0.12490799605364594</v>
      </c>
      <c r="U14" s="63">
        <v>0.12924490410575373</v>
      </c>
      <c r="V14" s="63">
        <v>9.5637292722542469E-2</v>
      </c>
      <c r="W14" s="63">
        <v>0.10291582324131453</v>
      </c>
      <c r="X14" s="63">
        <v>0.12447403818273901</v>
      </c>
      <c r="Y14" s="63">
        <v>0.13739237732512036</v>
      </c>
      <c r="Z14" s="64">
        <v>0.11659254459527837</v>
      </c>
      <c r="AA14" s="64">
        <v>0.12751291005631418</v>
      </c>
      <c r="AB14" s="64">
        <v>0.13729863292843417</v>
      </c>
      <c r="AC14" s="64">
        <v>0.16476692847697483</v>
      </c>
      <c r="AD14" s="64">
        <v>9.7698413456663594E-2</v>
      </c>
      <c r="AE14" s="64">
        <v>9.9570101110300901E-2</v>
      </c>
      <c r="AF14" s="64">
        <v>0.10820192159286406</v>
      </c>
      <c r="AG14" s="64">
        <v>0.12829661663788827</v>
      </c>
      <c r="AH14" s="64">
        <v>6.131049684347703E-2</v>
      </c>
      <c r="AI14" s="64">
        <v>6.8967631037859051E-2</v>
      </c>
      <c r="AJ14" s="64">
        <v>7.7374452568582094E-2</v>
      </c>
      <c r="AK14" s="64">
        <v>0.10412576565667299</v>
      </c>
      <c r="AL14" s="64">
        <v>4.0785649957725018E-2</v>
      </c>
      <c r="AM14" s="64">
        <v>4.971742905829396E-2</v>
      </c>
      <c r="AN14" s="64">
        <v>6.7015583795591277E-2</v>
      </c>
      <c r="AO14" s="64">
        <v>0.12722482529005538</v>
      </c>
      <c r="AP14" s="187"/>
      <c r="AQ14" s="187"/>
      <c r="AR14" s="236"/>
      <c r="AS14" s="236"/>
      <c r="AT14" s="236"/>
      <c r="AU14" s="235"/>
    </row>
    <row r="15" spans="1:47" ht="21.75" customHeight="1" x14ac:dyDescent="0.3">
      <c r="B15" s="41"/>
      <c r="C15" s="41"/>
      <c r="D15" s="41"/>
      <c r="E15" s="41"/>
      <c r="F15" s="41"/>
      <c r="G15" s="41"/>
      <c r="H15" s="41"/>
      <c r="I15" s="41"/>
      <c r="J15" s="41"/>
      <c r="K15" s="41"/>
      <c r="L15" s="41"/>
      <c r="M15" s="41"/>
      <c r="N15" s="41"/>
      <c r="O15" s="41"/>
      <c r="P15" s="41"/>
      <c r="Q15" s="41"/>
      <c r="R15" s="41"/>
      <c r="S15" s="41"/>
      <c r="T15" s="41"/>
      <c r="U15" s="41"/>
      <c r="V15" s="41"/>
      <c r="W15" s="41"/>
      <c r="X15" s="41"/>
      <c r="Y15" s="41"/>
    </row>
    <row r="16" spans="1:47" ht="99" x14ac:dyDescent="0.3">
      <c r="A16" s="42" t="s">
        <v>240</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61"/>
      <c r="AL16" s="136"/>
    </row>
    <row r="17" spans="1:47" x14ac:dyDescent="0.3">
      <c r="A17" s="237" t="s">
        <v>242</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52"/>
      <c r="AP17" s="219"/>
      <c r="AQ17" s="152"/>
      <c r="AR17" s="152"/>
      <c r="AS17" s="152"/>
      <c r="AT17" s="152"/>
      <c r="AU17" s="152"/>
    </row>
    <row r="18" spans="1:47" x14ac:dyDescent="0.3">
      <c r="A18" s="237" t="s">
        <v>263</v>
      </c>
      <c r="B18" s="41"/>
      <c r="C18" s="41"/>
      <c r="D18" s="41"/>
      <c r="E18" s="41"/>
      <c r="F18" s="41"/>
      <c r="G18" s="41"/>
      <c r="H18" s="41"/>
      <c r="I18" s="41"/>
      <c r="J18" s="41"/>
      <c r="K18" s="41"/>
      <c r="L18" s="41"/>
      <c r="M18" s="41"/>
      <c r="N18" s="41"/>
      <c r="O18" s="41"/>
      <c r="P18" s="41"/>
      <c r="Q18" s="41"/>
      <c r="R18" s="41"/>
      <c r="S18" s="41"/>
      <c r="T18" s="41"/>
      <c r="U18" s="41"/>
      <c r="V18" s="41"/>
      <c r="W18" s="41"/>
      <c r="X18" s="41"/>
      <c r="Y18" s="41"/>
    </row>
    <row r="19" spans="1:47" x14ac:dyDescent="0.3">
      <c r="A19" s="43"/>
      <c r="B19" s="41"/>
      <c r="C19" s="41"/>
      <c r="D19" s="41"/>
      <c r="E19" s="41"/>
      <c r="F19" s="41"/>
      <c r="G19" s="41"/>
      <c r="H19" s="41"/>
      <c r="I19" s="41"/>
      <c r="J19" s="41"/>
      <c r="K19" s="41"/>
      <c r="L19" s="41"/>
      <c r="M19" s="41"/>
      <c r="N19" s="41"/>
      <c r="O19" s="41"/>
      <c r="P19" s="41"/>
      <c r="Q19" s="41"/>
      <c r="R19" s="41"/>
      <c r="S19" s="41"/>
      <c r="T19" s="41"/>
      <c r="U19" s="41"/>
      <c r="V19" s="41"/>
      <c r="W19" s="41"/>
      <c r="X19" s="41"/>
      <c r="Y19" s="41"/>
    </row>
    <row r="20" spans="1:47" x14ac:dyDescent="0.3">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1:47" x14ac:dyDescent="0.3">
      <c r="B21" s="41"/>
      <c r="C21" s="41"/>
      <c r="D21" s="41"/>
      <c r="E21" s="41"/>
      <c r="F21" s="41"/>
      <c r="G21" s="41"/>
      <c r="H21" s="41"/>
      <c r="I21" s="41"/>
      <c r="J21" s="41"/>
      <c r="K21" s="41"/>
      <c r="L21" s="41"/>
      <c r="M21" s="41"/>
      <c r="N21" s="41"/>
      <c r="O21" s="41"/>
      <c r="P21" s="41"/>
      <c r="Q21" s="41"/>
      <c r="R21" s="41"/>
      <c r="S21" s="41"/>
      <c r="T21" s="41"/>
      <c r="U21" s="41"/>
      <c r="V21" s="41"/>
      <c r="W21" s="41"/>
      <c r="X21" s="41"/>
      <c r="Y21" s="41"/>
    </row>
    <row r="22" spans="1:47" x14ac:dyDescent="0.3">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47" x14ac:dyDescent="0.3">
      <c r="B23" s="41"/>
      <c r="C23" s="41"/>
      <c r="D23" s="41"/>
      <c r="E23" s="41"/>
      <c r="F23" s="41"/>
      <c r="G23" s="41"/>
      <c r="H23" s="41"/>
      <c r="I23" s="41"/>
      <c r="J23" s="41"/>
      <c r="K23" s="41"/>
      <c r="L23" s="41"/>
      <c r="M23" s="41"/>
      <c r="N23" s="41"/>
      <c r="O23" s="41"/>
      <c r="P23" s="41"/>
      <c r="Q23" s="41"/>
      <c r="R23" s="41"/>
      <c r="S23" s="41"/>
      <c r="T23" s="41"/>
      <c r="U23" s="41"/>
      <c r="V23" s="41"/>
      <c r="W23" s="41"/>
      <c r="X23" s="41"/>
      <c r="Y23" s="41"/>
    </row>
    <row r="24" spans="1:47" x14ac:dyDescent="0.3">
      <c r="B24" s="41"/>
      <c r="C24" s="41"/>
      <c r="D24" s="41"/>
      <c r="E24" s="41"/>
      <c r="F24" s="41"/>
      <c r="G24" s="41"/>
      <c r="H24" s="41"/>
      <c r="I24" s="41"/>
      <c r="J24" s="41"/>
      <c r="K24" s="41"/>
      <c r="L24" s="41"/>
      <c r="M24" s="41"/>
      <c r="N24" s="41"/>
      <c r="O24" s="41"/>
      <c r="P24" s="41"/>
      <c r="Q24" s="41"/>
      <c r="R24" s="41"/>
      <c r="S24" s="41"/>
      <c r="T24" s="41"/>
      <c r="U24" s="41"/>
      <c r="V24" s="41"/>
      <c r="W24" s="41"/>
      <c r="X24" s="41"/>
      <c r="Y24" s="41"/>
    </row>
    <row r="37" spans="2:34" x14ac:dyDescent="0.3">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row>
    <row r="38" spans="2:34" x14ac:dyDescent="0.3">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row>
    <row r="39" spans="2:34" x14ac:dyDescent="0.3">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row>
    <row r="40" spans="2:34" x14ac:dyDescent="0.3">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row>
    <row r="42" spans="2:34" x14ac:dyDescent="0.3">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row>
    <row r="43" spans="2:34" x14ac:dyDescent="0.3">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row>
  </sheetData>
  <mergeCells count="1">
    <mergeCell ref="A1:H1"/>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BV174"/>
  <sheetViews>
    <sheetView showGridLines="0" topLeftCell="BH151" zoomScale="85" zoomScaleNormal="85" workbookViewId="0">
      <selection activeCell="BQ160" sqref="BQ160"/>
    </sheetView>
  </sheetViews>
  <sheetFormatPr baseColWidth="10" defaultRowHeight="15" x14ac:dyDescent="0.25"/>
  <cols>
    <col min="1" max="1" width="20.42578125" bestFit="1" customWidth="1"/>
    <col min="7" max="7" width="20.42578125" bestFit="1" customWidth="1"/>
    <col min="8" max="8" width="11.85546875" bestFit="1" customWidth="1"/>
    <col min="21" max="21" width="19.85546875" customWidth="1"/>
    <col min="22" max="22" width="26.28515625" customWidth="1"/>
    <col min="28" max="28" width="20.42578125" bestFit="1" customWidth="1"/>
    <col min="29" max="42" width="18.28515625" customWidth="1"/>
    <col min="43" max="44" width="23" bestFit="1" customWidth="1"/>
    <col min="45" max="46" width="18.28515625" customWidth="1"/>
    <col min="47" max="47" width="14.85546875" bestFit="1" customWidth="1"/>
    <col min="49" max="49" width="17.7109375" customWidth="1"/>
    <col min="56" max="56" width="17.7109375" customWidth="1"/>
    <col min="62" max="62" width="14.7109375" customWidth="1"/>
    <col min="66" max="66" width="90.85546875" customWidth="1"/>
  </cols>
  <sheetData>
    <row r="2" spans="1:74" ht="33" customHeight="1" x14ac:dyDescent="0.25">
      <c r="G2" s="338" t="s">
        <v>82</v>
      </c>
      <c r="H2" s="338" t="s">
        <v>83</v>
      </c>
      <c r="I2" s="338"/>
      <c r="J2" s="338"/>
      <c r="K2" s="338" t="s">
        <v>84</v>
      </c>
      <c r="L2" s="338"/>
      <c r="M2" s="338"/>
      <c r="N2" s="338" t="s">
        <v>81</v>
      </c>
      <c r="O2" s="338"/>
      <c r="P2" s="338"/>
      <c r="Q2" s="338" t="s">
        <v>83</v>
      </c>
      <c r="R2" s="338"/>
      <c r="S2" s="338"/>
      <c r="T2" s="338" t="s">
        <v>84</v>
      </c>
      <c r="U2" s="338"/>
      <c r="V2" s="338"/>
      <c r="W2" s="338" t="s">
        <v>81</v>
      </c>
      <c r="X2" s="338"/>
      <c r="Y2" s="338"/>
      <c r="AB2" s="338" t="s">
        <v>90</v>
      </c>
      <c r="AC2" s="48" t="s">
        <v>85</v>
      </c>
      <c r="AD2" s="48" t="s">
        <v>85</v>
      </c>
      <c r="AE2" s="48" t="s">
        <v>85</v>
      </c>
      <c r="AF2" s="48" t="s">
        <v>86</v>
      </c>
      <c r="AG2" s="48" t="s">
        <v>86</v>
      </c>
      <c r="AH2" s="48" t="s">
        <v>86</v>
      </c>
      <c r="AI2" s="48" t="s">
        <v>87</v>
      </c>
      <c r="AJ2" s="48" t="s">
        <v>87</v>
      </c>
      <c r="AK2" s="48" t="s">
        <v>87</v>
      </c>
      <c r="AL2" s="48" t="s">
        <v>88</v>
      </c>
      <c r="AM2" s="48" t="s">
        <v>88</v>
      </c>
      <c r="AN2" s="48" t="s">
        <v>88</v>
      </c>
      <c r="AO2" s="48" t="s">
        <v>89</v>
      </c>
      <c r="AP2" s="48" t="s">
        <v>89</v>
      </c>
      <c r="AQ2" s="48" t="s">
        <v>89</v>
      </c>
      <c r="AR2" s="338" t="s">
        <v>81</v>
      </c>
      <c r="AS2" s="338"/>
      <c r="AT2" s="338"/>
    </row>
    <row r="3" spans="1:74" ht="27" customHeight="1" x14ac:dyDescent="0.25">
      <c r="A3" s="45" t="s">
        <v>80</v>
      </c>
      <c r="B3" s="46" t="s">
        <v>2</v>
      </c>
      <c r="C3" s="46" t="s">
        <v>95</v>
      </c>
      <c r="D3" s="46" t="s">
        <v>39</v>
      </c>
      <c r="G3" s="338"/>
      <c r="H3" s="46" t="s">
        <v>2</v>
      </c>
      <c r="I3" s="46" t="s">
        <v>95</v>
      </c>
      <c r="J3" s="46" t="s">
        <v>39</v>
      </c>
      <c r="K3" s="46" t="s">
        <v>2</v>
      </c>
      <c r="L3" s="46" t="s">
        <v>95</v>
      </c>
      <c r="M3" s="46" t="s">
        <v>39</v>
      </c>
      <c r="N3" s="46" t="s">
        <v>2</v>
      </c>
      <c r="O3" s="46" t="s">
        <v>95</v>
      </c>
      <c r="P3" s="46" t="s">
        <v>39</v>
      </c>
      <c r="Q3" s="46" t="s">
        <v>2</v>
      </c>
      <c r="R3" s="46" t="s">
        <v>95</v>
      </c>
      <c r="S3" s="46" t="s">
        <v>39</v>
      </c>
      <c r="T3" s="46" t="s">
        <v>2</v>
      </c>
      <c r="U3" s="46" t="s">
        <v>95</v>
      </c>
      <c r="V3" s="46" t="s">
        <v>39</v>
      </c>
      <c r="W3" s="46" t="s">
        <v>2</v>
      </c>
      <c r="X3" s="46" t="s">
        <v>95</v>
      </c>
      <c r="Y3" s="46" t="s">
        <v>39</v>
      </c>
      <c r="AB3" s="338"/>
      <c r="AC3" s="46" t="s">
        <v>2</v>
      </c>
      <c r="AD3" s="46" t="s">
        <v>95</v>
      </c>
      <c r="AE3" s="46" t="s">
        <v>39</v>
      </c>
      <c r="AF3" s="46" t="s">
        <v>2</v>
      </c>
      <c r="AG3" s="46" t="s">
        <v>95</v>
      </c>
      <c r="AH3" s="46" t="s">
        <v>39</v>
      </c>
      <c r="AI3" s="46" t="s">
        <v>2</v>
      </c>
      <c r="AJ3" s="46" t="s">
        <v>95</v>
      </c>
      <c r="AK3" s="46" t="s">
        <v>39</v>
      </c>
      <c r="AL3" s="46" t="s">
        <v>2</v>
      </c>
      <c r="AM3" s="46" t="s">
        <v>95</v>
      </c>
      <c r="AN3" s="46" t="s">
        <v>39</v>
      </c>
      <c r="AO3" s="46" t="s">
        <v>2</v>
      </c>
      <c r="AP3" s="46" t="s">
        <v>95</v>
      </c>
      <c r="AQ3" s="46" t="s">
        <v>39</v>
      </c>
      <c r="AR3" s="46" t="s">
        <v>2</v>
      </c>
      <c r="AS3" s="46" t="s">
        <v>95</v>
      </c>
      <c r="AT3" s="46" t="s">
        <v>39</v>
      </c>
      <c r="AW3" s="45" t="s">
        <v>96</v>
      </c>
      <c r="AX3" s="46" t="s">
        <v>2</v>
      </c>
      <c r="AY3" s="46" t="s">
        <v>95</v>
      </c>
      <c r="AZ3" s="46" t="s">
        <v>39</v>
      </c>
      <c r="BA3" s="47" t="s">
        <v>98</v>
      </c>
      <c r="BD3" s="45" t="s">
        <v>99</v>
      </c>
      <c r="BE3" s="46" t="s">
        <v>102</v>
      </c>
      <c r="BF3" s="46" t="s">
        <v>103</v>
      </c>
      <c r="BG3" s="46" t="s">
        <v>104</v>
      </c>
      <c r="BH3" s="46" t="s">
        <v>100</v>
      </c>
      <c r="BI3" s="46" t="s">
        <v>101</v>
      </c>
      <c r="BJ3" s="47" t="s">
        <v>105</v>
      </c>
      <c r="BK3" s="277" t="s">
        <v>254</v>
      </c>
      <c r="BL3" s="47" t="s">
        <v>98</v>
      </c>
      <c r="BP3" s="192" t="s">
        <v>209</v>
      </c>
      <c r="BT3" s="337" t="s">
        <v>114</v>
      </c>
      <c r="BU3" s="337"/>
      <c r="BV3" s="337"/>
    </row>
    <row r="4" spans="1:74" ht="16.5" x14ac:dyDescent="0.25">
      <c r="A4" s="49">
        <v>2020</v>
      </c>
      <c r="B4" s="128">
        <v>3065.3877530712161</v>
      </c>
      <c r="C4" s="128">
        <v>45.469618353511237</v>
      </c>
      <c r="D4" s="128">
        <v>55.569016177820686</v>
      </c>
      <c r="E4" s="32"/>
      <c r="F4" s="32"/>
      <c r="G4" s="50">
        <v>2020</v>
      </c>
      <c r="H4" s="128">
        <v>424.70894349503453</v>
      </c>
      <c r="I4" s="128">
        <v>17.845133027467902</v>
      </c>
      <c r="J4" s="128">
        <v>44.483175448205863</v>
      </c>
      <c r="K4" s="128">
        <v>2640.6788095761817</v>
      </c>
      <c r="L4" s="128">
        <v>27.624485326043335</v>
      </c>
      <c r="M4" s="128">
        <v>11.085840729614823</v>
      </c>
      <c r="N4" s="73">
        <f>+K4+H4</f>
        <v>3065.3877530712161</v>
      </c>
      <c r="O4" s="73">
        <f>+L4+I4</f>
        <v>45.469618353511237</v>
      </c>
      <c r="P4" s="73">
        <f>+M4+J4</f>
        <v>55.569016177820686</v>
      </c>
      <c r="Q4" s="74">
        <f>+H4/N4</f>
        <v>0.13854982720196427</v>
      </c>
      <c r="R4" s="74">
        <f>+I4/O4</f>
        <v>0.39246278446253713</v>
      </c>
      <c r="S4" s="74">
        <f>+J4/P4</f>
        <v>0.80050320318538359</v>
      </c>
      <c r="T4" s="74">
        <f>+K4/N4</f>
        <v>0.86145017279803571</v>
      </c>
      <c r="U4" s="74">
        <f>+L4/O4</f>
        <v>0.60753721553746287</v>
      </c>
      <c r="V4" s="74">
        <f>+M4/P4</f>
        <v>0.19949679681461635</v>
      </c>
      <c r="W4" s="74">
        <v>1</v>
      </c>
      <c r="X4" s="74">
        <v>1</v>
      </c>
      <c r="Y4" s="74">
        <v>1</v>
      </c>
      <c r="Z4" s="110"/>
      <c r="AB4" s="50">
        <v>2020</v>
      </c>
      <c r="AC4" s="129">
        <v>1178.471061912041</v>
      </c>
      <c r="AD4" s="129">
        <v>0</v>
      </c>
      <c r="AE4" s="129">
        <v>0</v>
      </c>
      <c r="AF4" s="129">
        <v>0</v>
      </c>
      <c r="AG4" s="129">
        <v>0</v>
      </c>
      <c r="AH4" s="129">
        <v>55.569016177820686</v>
      </c>
      <c r="AI4" s="129">
        <v>0</v>
      </c>
      <c r="AJ4" s="129">
        <v>1.6413985000000002</v>
      </c>
      <c r="AK4" s="129">
        <v>0</v>
      </c>
      <c r="AL4" s="129">
        <v>0</v>
      </c>
      <c r="AM4" s="129">
        <v>21.636144853511247</v>
      </c>
      <c r="AN4" s="129">
        <v>0</v>
      </c>
      <c r="AO4" s="129">
        <v>1886.9166911591758</v>
      </c>
      <c r="AP4" s="129">
        <v>22.192074999999999</v>
      </c>
      <c r="AQ4" s="129">
        <v>0</v>
      </c>
      <c r="AR4" s="76">
        <f>+SUMIF($AC$3:$AQ$3,"Pesos",$AC4:$AQ4)</f>
        <v>3065.387753071217</v>
      </c>
      <c r="AS4" s="76">
        <f>+SUMIF($AC$3:$AQ$3,"USD",$AC4:$AQ4)</f>
        <v>45.469618353511251</v>
      </c>
      <c r="AT4" s="76">
        <f>+SUMIF($AC$3:$AQ$3,"UVA",$AC4:$AQ4)</f>
        <v>55.569016177820686</v>
      </c>
      <c r="AU4" s="258" t="b">
        <f>+SUM(AR4:AT4)=SUM(B4:D4)</f>
        <v>1</v>
      </c>
      <c r="AV4" s="32"/>
      <c r="AW4" s="47" t="s">
        <v>45</v>
      </c>
      <c r="AX4" s="79">
        <f>+AX5/$BA$5</f>
        <v>0.20712125287153649</v>
      </c>
      <c r="AY4" s="79">
        <f>+AY5/$BA$5</f>
        <v>0.79287874712846362</v>
      </c>
      <c r="AZ4" s="79">
        <f>+AZ5/$BA$5</f>
        <v>0</v>
      </c>
      <c r="BA4" s="79">
        <f>+BA5/$BA$5</f>
        <v>1</v>
      </c>
      <c r="BD4" s="47" t="s">
        <v>45</v>
      </c>
      <c r="BE4" s="79">
        <f t="shared" ref="BE4:BL4" si="0">+BE5/$BL$5</f>
        <v>9.1592182093022181E-2</v>
      </c>
      <c r="BF4" s="79">
        <f t="shared" si="0"/>
        <v>0</v>
      </c>
      <c r="BG4" s="79">
        <f t="shared" si="0"/>
        <v>0.49970091586452908</v>
      </c>
      <c r="BH4" s="79">
        <f t="shared" si="0"/>
        <v>1.54146872162533E-2</v>
      </c>
      <c r="BI4" s="79">
        <f t="shared" si="0"/>
        <v>0.29582535233984864</v>
      </c>
      <c r="BJ4" s="79">
        <f t="shared" si="0"/>
        <v>0</v>
      </c>
      <c r="BK4" s="278">
        <f t="shared" si="0"/>
        <v>9.7466862486346784E-2</v>
      </c>
      <c r="BL4" s="79">
        <f t="shared" si="0"/>
        <v>1</v>
      </c>
      <c r="BP4" s="193" t="s">
        <v>211</v>
      </c>
      <c r="BT4" s="52" t="s">
        <v>107</v>
      </c>
    </row>
    <row r="5" spans="1:74" ht="16.5" x14ac:dyDescent="0.25">
      <c r="A5" s="49">
        <f t="shared" ref="A5:A13" si="1">+A4+1</f>
        <v>2021</v>
      </c>
      <c r="B5" s="128">
        <v>7722.1832983013492</v>
      </c>
      <c r="C5" s="128">
        <v>39.604677280951158</v>
      </c>
      <c r="D5" s="128">
        <v>19.277296437904816</v>
      </c>
      <c r="E5" s="32"/>
      <c r="F5" s="32"/>
      <c r="G5" s="49">
        <f t="shared" ref="G5:G13" si="2">+G4+1</f>
        <v>2021</v>
      </c>
      <c r="H5" s="128">
        <v>4956.8121740246343</v>
      </c>
      <c r="I5" s="128">
        <v>16.248720311656189</v>
      </c>
      <c r="J5" s="128">
        <v>10.434325061801667</v>
      </c>
      <c r="K5" s="128">
        <v>2765.3711242767149</v>
      </c>
      <c r="L5" s="128">
        <v>23.355956969294969</v>
      </c>
      <c r="M5" s="128">
        <v>8.842971376103149</v>
      </c>
      <c r="N5" s="73">
        <f t="shared" ref="N5:N14" si="3">+K5+H5</f>
        <v>7722.1832983013492</v>
      </c>
      <c r="O5" s="73">
        <f t="shared" ref="O5:O14" si="4">+L5+I5</f>
        <v>39.604677280951158</v>
      </c>
      <c r="P5" s="73">
        <f t="shared" ref="P5:P14" si="5">+M5+J5</f>
        <v>19.277296437904816</v>
      </c>
      <c r="Q5" s="74">
        <f t="shared" ref="Q5:Q14" si="6">+H5/N5</f>
        <v>0.6418925817410972</v>
      </c>
      <c r="R5" s="74">
        <f>+I5/O5</f>
        <v>0.41027276138092433</v>
      </c>
      <c r="S5" s="74">
        <f>+J5/P5</f>
        <v>0.5412753336761853</v>
      </c>
      <c r="T5" s="74">
        <f t="shared" ref="T5:T14" si="7">+K5/N5</f>
        <v>0.3581074182589028</v>
      </c>
      <c r="U5" s="74">
        <f t="shared" ref="U5:U14" si="8">+L5/O5</f>
        <v>0.58972723861907572</v>
      </c>
      <c r="V5" s="74">
        <f>+M5/P5</f>
        <v>0.4587246663238147</v>
      </c>
      <c r="W5" s="74">
        <v>1</v>
      </c>
      <c r="X5" s="74">
        <v>1</v>
      </c>
      <c r="Y5" s="74">
        <v>1</v>
      </c>
      <c r="Z5" s="51">
        <v>0</v>
      </c>
      <c r="AB5" s="49">
        <f t="shared" ref="AB5:AB13" si="9">+AB4+1</f>
        <v>2021</v>
      </c>
      <c r="AC5" s="129">
        <v>4657.6730759813126</v>
      </c>
      <c r="AD5" s="129">
        <v>0</v>
      </c>
      <c r="AE5" s="129">
        <v>0</v>
      </c>
      <c r="AF5" s="129">
        <v>0</v>
      </c>
      <c r="AG5" s="129">
        <v>0</v>
      </c>
      <c r="AH5" s="129">
        <v>19.277296437904816</v>
      </c>
      <c r="AI5" s="129">
        <v>0</v>
      </c>
      <c r="AJ5" s="129">
        <v>0.79255361999999996</v>
      </c>
      <c r="AK5" s="129">
        <v>0</v>
      </c>
      <c r="AL5" s="129">
        <v>0</v>
      </c>
      <c r="AM5" s="129">
        <v>19.38025699428449</v>
      </c>
      <c r="AN5" s="129">
        <v>0</v>
      </c>
      <c r="AO5" s="129">
        <v>3064.5102223200347</v>
      </c>
      <c r="AP5" s="129">
        <v>19.431866666666668</v>
      </c>
      <c r="AQ5" s="129">
        <v>0</v>
      </c>
      <c r="AR5" s="76">
        <f t="shared" ref="AR5:AR14" si="10">+SUMIF($AC$3:$AQ$3,"Pesos",$AC5:$AQ5)</f>
        <v>7722.1832983013473</v>
      </c>
      <c r="AS5" s="76">
        <f t="shared" ref="AS5:AS14" si="11">+SUMIF($AC$3:$AQ$3,"USD",$AC5:$AQ5)</f>
        <v>39.604677280951158</v>
      </c>
      <c r="AT5" s="76">
        <f t="shared" ref="AT5:AT14" si="12">+SUMIF($AC$3:$AQ$3,"UVA",$AC5:$AQ5)</f>
        <v>19.277296437904816</v>
      </c>
      <c r="AU5" s="258" t="b">
        <f>+ROUND(SUM(AR5:AT5),1)=ROUND(SUM(B5:D5),1)</f>
        <v>1</v>
      </c>
      <c r="AV5" s="32"/>
      <c r="AW5" s="47" t="s">
        <v>97</v>
      </c>
      <c r="AX5" s="77">
        <f>+'Servicios Deuda Anual'!F9+'Servicios Deuda Anual'!F14+'Servicios Deuda Anual'!F33-'Servicios Deuda Anual'!F34</f>
        <v>132.13215545996508</v>
      </c>
      <c r="AY5" s="77">
        <f>+'Servicios Deuda Anual'!F34+'Servicios Deuda Anual'!F17</f>
        <v>505.81375123999999</v>
      </c>
      <c r="AZ5" s="77">
        <v>0</v>
      </c>
      <c r="BA5" s="78">
        <f>+AY5+AX5+AZ5</f>
        <v>637.94590669996501</v>
      </c>
      <c r="BD5" s="47" t="s">
        <v>97</v>
      </c>
      <c r="BE5" s="81">
        <f>'Servicios Deuda Anual'!F39+'Servicios Deuda Anual'!F37+'Servicios Deuda Anual'!F38</f>
        <v>58.430857651961347</v>
      </c>
      <c r="BF5" s="81">
        <v>0</v>
      </c>
      <c r="BG5" s="81">
        <f>+'Servicios Deuda Anual'!F34</f>
        <v>318.78215384999999</v>
      </c>
      <c r="BH5" s="81">
        <f>'Servicios Deuda Anual'!F42+'Servicios Deuda Anual'!F41+'Servicios Deuda Anual'!F40+'Servicios Deuda Anual'!F16+'Servicios Deuda Anual'!F13</f>
        <v>9.8337366126690728</v>
      </c>
      <c r="BI5" s="81">
        <f>+'Servicios Deuda Anual'!F10+'Servicios Deuda Anual'!F11+'Servicios Deuda Anual'!F12+'Servicios Deuda Anual'!F18+'Servicios Deuda Anual'!F29</f>
        <v>188.72057262328138</v>
      </c>
      <c r="BJ5" s="81">
        <v>0</v>
      </c>
      <c r="BK5" s="279">
        <f>+'Servicios Deuda Anual'!F35+'Servicios Deuda Anual'!F36+'Servicios Deuda Anual'!F15</f>
        <v>62.178585962053312</v>
      </c>
      <c r="BL5" s="80">
        <f>+SUM(BE5:BK5)</f>
        <v>637.94590669996512</v>
      </c>
      <c r="BP5" s="193" t="s">
        <v>235</v>
      </c>
      <c r="BT5" s="52" t="s">
        <v>108</v>
      </c>
    </row>
    <row r="6" spans="1:74" x14ac:dyDescent="0.25">
      <c r="A6" s="49">
        <f t="shared" si="1"/>
        <v>2022</v>
      </c>
      <c r="B6" s="128">
        <v>24763.11180595223</v>
      </c>
      <c r="C6" s="128">
        <v>42.62848488616963</v>
      </c>
      <c r="D6" s="128">
        <v>13.053123599940303</v>
      </c>
      <c r="E6" s="32"/>
      <c r="F6" s="32"/>
      <c r="G6" s="49">
        <f t="shared" si="2"/>
        <v>2022</v>
      </c>
      <c r="H6" s="128">
        <v>9381.3052599994116</v>
      </c>
      <c r="I6" s="128">
        <v>15.691754258460426</v>
      </c>
      <c r="J6" s="128">
        <v>9.8546403350349081</v>
      </c>
      <c r="K6" s="128">
        <v>15381.806545952819</v>
      </c>
      <c r="L6" s="128">
        <v>26.936730627709203</v>
      </c>
      <c r="M6" s="128">
        <v>3.198483264905394</v>
      </c>
      <c r="N6" s="73">
        <f t="shared" si="3"/>
        <v>24763.11180595223</v>
      </c>
      <c r="O6" s="73">
        <f t="shared" si="4"/>
        <v>42.62848488616963</v>
      </c>
      <c r="P6" s="73">
        <f t="shared" si="5"/>
        <v>13.053123599940303</v>
      </c>
      <c r="Q6" s="74">
        <f t="shared" si="6"/>
        <v>0.37884193769801006</v>
      </c>
      <c r="R6" s="74">
        <f>+I6/O6</f>
        <v>0.3681049021648774</v>
      </c>
      <c r="S6" s="74">
        <f>+J6/P6</f>
        <v>0.75496414782129062</v>
      </c>
      <c r="T6" s="74">
        <f t="shared" si="7"/>
        <v>0.62115806230199</v>
      </c>
      <c r="U6" s="74">
        <f t="shared" si="8"/>
        <v>0.63189509783512254</v>
      </c>
      <c r="V6" s="74">
        <f>+M6/P6</f>
        <v>0.24503585217870932</v>
      </c>
      <c r="W6" s="74">
        <v>1</v>
      </c>
      <c r="X6" s="74">
        <v>1</v>
      </c>
      <c r="Y6" s="74">
        <v>1</v>
      </c>
      <c r="Z6" s="51">
        <v>0</v>
      </c>
      <c r="AB6" s="49">
        <f t="shared" si="9"/>
        <v>2022</v>
      </c>
      <c r="AC6" s="129">
        <v>11809.215791485463</v>
      </c>
      <c r="AD6" s="129">
        <v>0</v>
      </c>
      <c r="AE6" s="129">
        <v>0</v>
      </c>
      <c r="AF6" s="129">
        <v>7157.3785598736722</v>
      </c>
      <c r="AG6" s="129">
        <v>0</v>
      </c>
      <c r="AH6" s="129">
        <v>13.053123599940303</v>
      </c>
      <c r="AI6" s="129">
        <v>0</v>
      </c>
      <c r="AJ6" s="129">
        <v>0</v>
      </c>
      <c r="AK6" s="129">
        <v>0</v>
      </c>
      <c r="AL6" s="129">
        <v>0</v>
      </c>
      <c r="AM6" s="129">
        <v>20.261712386169627</v>
      </c>
      <c r="AN6" s="129">
        <v>0</v>
      </c>
      <c r="AO6" s="129">
        <v>5796.5174545930986</v>
      </c>
      <c r="AP6" s="129">
        <v>22.3667725</v>
      </c>
      <c r="AQ6" s="129">
        <v>0</v>
      </c>
      <c r="AR6" s="76">
        <f t="shared" si="10"/>
        <v>24763.111805952234</v>
      </c>
      <c r="AS6" s="76">
        <f t="shared" si="11"/>
        <v>42.62848488616963</v>
      </c>
      <c r="AT6" s="76">
        <f t="shared" si="12"/>
        <v>13.053123599940303</v>
      </c>
      <c r="AU6" s="258" t="b">
        <f>+SUM(AR6:AT6)=SUM(B6:D6)</f>
        <v>1</v>
      </c>
      <c r="AV6" s="32"/>
      <c r="AW6" s="32"/>
      <c r="BA6" s="32"/>
      <c r="BD6" s="32"/>
      <c r="BT6" s="52" t="s">
        <v>109</v>
      </c>
    </row>
    <row r="7" spans="1:74" x14ac:dyDescent="0.25">
      <c r="A7" s="49">
        <f t="shared" si="1"/>
        <v>2023</v>
      </c>
      <c r="B7" s="128">
        <v>57379.118437812736</v>
      </c>
      <c r="C7" s="128">
        <v>130.1440193267137</v>
      </c>
      <c r="D7" s="128">
        <v>0</v>
      </c>
      <c r="E7" s="32"/>
      <c r="F7" s="32"/>
      <c r="G7" s="49">
        <f t="shared" si="2"/>
        <v>2023</v>
      </c>
      <c r="H7" s="128">
        <v>28597.187327013424</v>
      </c>
      <c r="I7" s="128">
        <v>96.00533608296891</v>
      </c>
      <c r="J7" s="128">
        <v>0</v>
      </c>
      <c r="K7" s="128">
        <v>28781.931110799313</v>
      </c>
      <c r="L7" s="128">
        <v>34.138683243744772</v>
      </c>
      <c r="M7" s="128">
        <v>0</v>
      </c>
      <c r="N7" s="73">
        <f t="shared" si="3"/>
        <v>57379.118437812736</v>
      </c>
      <c r="O7" s="73">
        <f t="shared" si="4"/>
        <v>130.14401932671367</v>
      </c>
      <c r="P7" s="73">
        <f t="shared" si="5"/>
        <v>0</v>
      </c>
      <c r="Q7" s="74">
        <f t="shared" si="6"/>
        <v>0.49839014794218117</v>
      </c>
      <c r="R7" s="74">
        <f t="shared" ref="R7:R14" si="13">+I7/O7</f>
        <v>0.73768534719952839</v>
      </c>
      <c r="S7" s="74" t="s">
        <v>156</v>
      </c>
      <c r="T7" s="74">
        <f t="shared" si="7"/>
        <v>0.50160985205781883</v>
      </c>
      <c r="U7" s="74">
        <f t="shared" si="8"/>
        <v>0.26231465280047167</v>
      </c>
      <c r="V7" s="74" t="s">
        <v>156</v>
      </c>
      <c r="W7" s="74">
        <v>1</v>
      </c>
      <c r="X7" s="74">
        <v>1.0000000000000002</v>
      </c>
      <c r="Y7" s="74">
        <v>0</v>
      </c>
      <c r="Z7" s="51">
        <v>0</v>
      </c>
      <c r="AB7" s="49">
        <f t="shared" si="9"/>
        <v>2023</v>
      </c>
      <c r="AC7" s="129">
        <v>15170.333164879847</v>
      </c>
      <c r="AD7" s="129">
        <v>0</v>
      </c>
      <c r="AE7" s="129">
        <v>0</v>
      </c>
      <c r="AF7" s="129">
        <v>19546.544825953002</v>
      </c>
      <c r="AG7" s="129">
        <v>0</v>
      </c>
      <c r="AH7" s="129">
        <v>0</v>
      </c>
      <c r="AI7" s="129">
        <v>0</v>
      </c>
      <c r="AJ7" s="129">
        <v>0</v>
      </c>
      <c r="AK7" s="129">
        <v>0</v>
      </c>
      <c r="AL7" s="129">
        <v>0</v>
      </c>
      <c r="AM7" s="129">
        <v>25.615006634405987</v>
      </c>
      <c r="AN7" s="129">
        <v>0</v>
      </c>
      <c r="AO7" s="129">
        <v>22662.240446979886</v>
      </c>
      <c r="AP7" s="129">
        <v>104.5290126923077</v>
      </c>
      <c r="AQ7" s="129">
        <v>0</v>
      </c>
      <c r="AR7" s="76">
        <f t="shared" si="10"/>
        <v>57379.118437812736</v>
      </c>
      <c r="AS7" s="76">
        <f t="shared" si="11"/>
        <v>130.1440193267137</v>
      </c>
      <c r="AT7" s="76">
        <f t="shared" si="12"/>
        <v>0</v>
      </c>
      <c r="AU7" s="258" t="b">
        <f t="shared" ref="AU7:AU14" si="14">+SUM(AR7:AT7)=SUM(B7:D7)</f>
        <v>1</v>
      </c>
      <c r="AV7" s="32"/>
      <c r="AW7" s="32"/>
      <c r="AZ7" s="88" t="s">
        <v>137</v>
      </c>
      <c r="BA7" s="89">
        <f>+BA5-'Servicios Deuda Anual'!$F$44</f>
        <v>0</v>
      </c>
      <c r="BD7" s="32"/>
      <c r="BJ7" s="88" t="s">
        <v>137</v>
      </c>
      <c r="BK7" s="89">
        <f>+BL5-'Servicios Deuda Anual'!$F$44</f>
        <v>0</v>
      </c>
      <c r="BT7" s="52" t="s">
        <v>110</v>
      </c>
    </row>
    <row r="8" spans="1:74" x14ac:dyDescent="0.25">
      <c r="A8" s="49">
        <f t="shared" si="1"/>
        <v>2024</v>
      </c>
      <c r="B8" s="128">
        <v>54826.867208328862</v>
      </c>
      <c r="C8" s="128">
        <v>130.71939450674998</v>
      </c>
      <c r="D8" s="128">
        <v>0</v>
      </c>
      <c r="E8" s="32"/>
      <c r="F8" s="32"/>
      <c r="G8" s="49">
        <f t="shared" si="2"/>
        <v>2024</v>
      </c>
      <c r="H8" s="128">
        <f>+SUMIFS($G$20:$V$20,$G$17:$V$17,H$3,$G$18:$V$18,$G8)</f>
        <v>36598.278251564181</v>
      </c>
      <c r="I8" s="128">
        <f t="shared" ref="H8:I14" si="15">+SUMIFS($G$20:$V$20,$G$17:$V$17,I$3,$G$18:$V$18,$G8)</f>
        <v>96.06220686135859</v>
      </c>
      <c r="J8" s="128">
        <v>0</v>
      </c>
      <c r="K8" s="128">
        <f t="shared" ref="K8:L14" si="16">+SUMIFS($G$21:$V$21,$G$17:$V$17,K$3,$G$18:$V$18,$G8)</f>
        <v>18228.588956764681</v>
      </c>
      <c r="L8" s="128">
        <f t="shared" si="16"/>
        <v>34.657187645391396</v>
      </c>
      <c r="M8" s="128">
        <v>0</v>
      </c>
      <c r="N8" s="73">
        <f t="shared" si="3"/>
        <v>54826.867208328862</v>
      </c>
      <c r="O8" s="73">
        <f t="shared" si="4"/>
        <v>130.71939450674998</v>
      </c>
      <c r="P8" s="73">
        <f t="shared" si="5"/>
        <v>0</v>
      </c>
      <c r="Q8" s="74">
        <f t="shared" si="6"/>
        <v>0.66752452064239887</v>
      </c>
      <c r="R8" s="74">
        <f t="shared" si="13"/>
        <v>0.73487340745292551</v>
      </c>
      <c r="S8" s="74" t="s">
        <v>156</v>
      </c>
      <c r="T8" s="74">
        <f t="shared" si="7"/>
        <v>0.33247547935760113</v>
      </c>
      <c r="U8" s="74">
        <f t="shared" si="8"/>
        <v>0.26512659254707455</v>
      </c>
      <c r="V8" s="74" t="s">
        <v>156</v>
      </c>
      <c r="W8" s="74">
        <v>0.99999999999999989</v>
      </c>
      <c r="X8" s="74">
        <v>1</v>
      </c>
      <c r="Y8" s="74">
        <v>0</v>
      </c>
      <c r="Z8" s="51">
        <v>0</v>
      </c>
      <c r="AB8" s="49">
        <f t="shared" si="9"/>
        <v>2024</v>
      </c>
      <c r="AC8" s="75">
        <f>+AE18</f>
        <v>1771.5594249790502</v>
      </c>
      <c r="AD8" s="75">
        <v>0</v>
      </c>
      <c r="AE8" s="75">
        <v>0</v>
      </c>
      <c r="AF8" s="75">
        <f>+AE19</f>
        <v>13647.143545820103</v>
      </c>
      <c r="AG8" s="75">
        <v>0</v>
      </c>
      <c r="AH8" s="75">
        <v>0</v>
      </c>
      <c r="AI8" s="75">
        <v>0</v>
      </c>
      <c r="AJ8" s="75">
        <v>0</v>
      </c>
      <c r="AK8" s="75">
        <v>0</v>
      </c>
      <c r="AL8" s="75">
        <v>0</v>
      </c>
      <c r="AM8" s="95">
        <f>+AF21</f>
        <v>26.965765376749996</v>
      </c>
      <c r="AN8" s="75">
        <v>0</v>
      </c>
      <c r="AO8" s="75">
        <f>+AE22</f>
        <v>39408.164237529709</v>
      </c>
      <c r="AP8" s="75">
        <f>+AF22</f>
        <v>103.75362912999999</v>
      </c>
      <c r="AQ8" s="75">
        <v>0</v>
      </c>
      <c r="AR8" s="76">
        <f t="shared" si="10"/>
        <v>54826.867208328862</v>
      </c>
      <c r="AS8" s="76">
        <f t="shared" si="11"/>
        <v>130.71939450674998</v>
      </c>
      <c r="AT8" s="76">
        <f t="shared" si="12"/>
        <v>0</v>
      </c>
      <c r="AU8" s="258" t="b">
        <f t="shared" si="14"/>
        <v>1</v>
      </c>
      <c r="AV8" s="32"/>
      <c r="AW8" s="32"/>
      <c r="BD8" s="32"/>
      <c r="BT8" s="52" t="s">
        <v>111</v>
      </c>
    </row>
    <row r="9" spans="1:74" x14ac:dyDescent="0.25">
      <c r="A9" s="49">
        <f t="shared" si="1"/>
        <v>2025</v>
      </c>
      <c r="B9" s="72">
        <v>70628.112626046117</v>
      </c>
      <c r="C9" s="72">
        <v>129.23331412624663</v>
      </c>
      <c r="D9" s="72">
        <v>0</v>
      </c>
      <c r="E9" s="32"/>
      <c r="F9" s="32"/>
      <c r="G9" s="49">
        <f t="shared" si="2"/>
        <v>2025</v>
      </c>
      <c r="H9" s="240">
        <f t="shared" si="15"/>
        <v>45952.702007692766</v>
      </c>
      <c r="I9" s="240">
        <f t="shared" si="15"/>
        <v>97.944727691720786</v>
      </c>
      <c r="J9" s="240">
        <v>0</v>
      </c>
      <c r="K9" s="240">
        <f t="shared" si="16"/>
        <v>24675.410618353348</v>
      </c>
      <c r="L9" s="240">
        <f t="shared" si="16"/>
        <v>31.288586434525826</v>
      </c>
      <c r="M9" s="240">
        <v>0</v>
      </c>
      <c r="N9" s="73">
        <f t="shared" si="3"/>
        <v>70628.112626046117</v>
      </c>
      <c r="O9" s="73">
        <f t="shared" si="4"/>
        <v>129.23331412624663</v>
      </c>
      <c r="P9" s="73">
        <f t="shared" si="5"/>
        <v>0</v>
      </c>
      <c r="Q9" s="74">
        <f t="shared" si="6"/>
        <v>0.65062905264080928</v>
      </c>
      <c r="R9" s="74">
        <f t="shared" si="13"/>
        <v>0.75789070607629583</v>
      </c>
      <c r="S9" s="74" t="s">
        <v>156</v>
      </c>
      <c r="T9" s="74">
        <f t="shared" si="7"/>
        <v>0.34937094735919066</v>
      </c>
      <c r="U9" s="74">
        <f t="shared" si="8"/>
        <v>0.24210929392370409</v>
      </c>
      <c r="V9" s="74" t="s">
        <v>156</v>
      </c>
      <c r="W9" s="74">
        <v>1</v>
      </c>
      <c r="X9" s="74">
        <v>1</v>
      </c>
      <c r="Y9" s="74">
        <v>0</v>
      </c>
      <c r="Z9" s="51">
        <v>0</v>
      </c>
      <c r="AB9" s="49">
        <f t="shared" si="9"/>
        <v>2025</v>
      </c>
      <c r="AC9" s="75">
        <f>+AG18</f>
        <v>544.15071828691418</v>
      </c>
      <c r="AD9" s="75">
        <v>0</v>
      </c>
      <c r="AE9" s="75">
        <v>0</v>
      </c>
      <c r="AF9" s="75">
        <f>+AG19</f>
        <v>14952.344600552928</v>
      </c>
      <c r="AG9" s="75">
        <v>0</v>
      </c>
      <c r="AH9" s="75">
        <v>0</v>
      </c>
      <c r="AI9" s="75">
        <v>0</v>
      </c>
      <c r="AJ9" s="75">
        <v>0</v>
      </c>
      <c r="AK9" s="75">
        <v>0</v>
      </c>
      <c r="AL9" s="75">
        <v>0</v>
      </c>
      <c r="AM9" s="75">
        <f>+AH21</f>
        <v>30.062178451631226</v>
      </c>
      <c r="AN9" s="75">
        <v>0</v>
      </c>
      <c r="AO9" s="75">
        <f>+AG22</f>
        <v>55131.617307206274</v>
      </c>
      <c r="AP9" s="75">
        <f>+AH22</f>
        <v>99.171135674615385</v>
      </c>
      <c r="AQ9" s="75">
        <v>0</v>
      </c>
      <c r="AR9" s="76">
        <f t="shared" si="10"/>
        <v>70628.112626046117</v>
      </c>
      <c r="AS9" s="76">
        <f t="shared" si="11"/>
        <v>129.23331412624663</v>
      </c>
      <c r="AT9" s="76">
        <f t="shared" si="12"/>
        <v>0</v>
      </c>
      <c r="AU9" s="258" t="b">
        <f>+ROUND(SUM(AR9:AT9),1)=ROUND(SUM(B9:D9),1)</f>
        <v>1</v>
      </c>
      <c r="AV9" s="32"/>
      <c r="AW9" s="32"/>
      <c r="BD9" s="32"/>
      <c r="BT9" s="52" t="s">
        <v>118</v>
      </c>
    </row>
    <row r="10" spans="1:74" ht="25.5" customHeight="1" x14ac:dyDescent="0.25">
      <c r="A10" s="49">
        <f t="shared" si="1"/>
        <v>2026</v>
      </c>
      <c r="B10" s="240">
        <v>100781.22347882173</v>
      </c>
      <c r="C10" s="72">
        <v>117.491488189704</v>
      </c>
      <c r="D10" s="72">
        <v>0</v>
      </c>
      <c r="E10" s="32"/>
      <c r="F10" s="32"/>
      <c r="G10" s="49">
        <f t="shared" si="2"/>
        <v>2026</v>
      </c>
      <c r="H10" s="240">
        <f t="shared" si="15"/>
        <v>82479.700773650649</v>
      </c>
      <c r="I10" s="240">
        <f t="shared" si="15"/>
        <v>93.588200038435261</v>
      </c>
      <c r="J10" s="240">
        <v>0</v>
      </c>
      <c r="K10" s="240">
        <f t="shared" si="16"/>
        <v>18301.522705171104</v>
      </c>
      <c r="L10" s="240">
        <f t="shared" si="16"/>
        <v>23.90328815126875</v>
      </c>
      <c r="M10" s="240">
        <v>0</v>
      </c>
      <c r="N10" s="73">
        <f t="shared" si="3"/>
        <v>100781.22347882175</v>
      </c>
      <c r="O10" s="73">
        <f t="shared" si="4"/>
        <v>117.49148818970401</v>
      </c>
      <c r="P10" s="73">
        <f t="shared" si="5"/>
        <v>0</v>
      </c>
      <c r="Q10" s="74">
        <f t="shared" si="6"/>
        <v>0.81840344785041241</v>
      </c>
      <c r="R10" s="74">
        <f t="shared" si="13"/>
        <v>0.79655302252471216</v>
      </c>
      <c r="S10" s="74" t="s">
        <v>156</v>
      </c>
      <c r="T10" s="74">
        <f t="shared" si="7"/>
        <v>0.1815965521495877</v>
      </c>
      <c r="U10" s="74">
        <f t="shared" si="8"/>
        <v>0.20344697747528775</v>
      </c>
      <c r="V10" s="74" t="s">
        <v>156</v>
      </c>
      <c r="W10" s="74">
        <v>1</v>
      </c>
      <c r="X10" s="74">
        <v>0.99999999999999989</v>
      </c>
      <c r="Y10" s="74">
        <v>0</v>
      </c>
      <c r="Z10" s="51">
        <v>0</v>
      </c>
      <c r="AB10" s="49">
        <f t="shared" si="9"/>
        <v>2026</v>
      </c>
      <c r="AC10" s="75">
        <f>+AI18</f>
        <v>366.40623828243469</v>
      </c>
      <c r="AD10" s="75">
        <v>0</v>
      </c>
      <c r="AE10" s="75">
        <v>0</v>
      </c>
      <c r="AF10" s="75">
        <f>+AI19</f>
        <v>17967.914616157872</v>
      </c>
      <c r="AG10" s="75">
        <v>0</v>
      </c>
      <c r="AH10" s="75">
        <v>0</v>
      </c>
      <c r="AI10" s="75">
        <v>0</v>
      </c>
      <c r="AJ10" s="75">
        <v>0</v>
      </c>
      <c r="AK10" s="75">
        <v>0</v>
      </c>
      <c r="AL10" s="75">
        <v>0</v>
      </c>
      <c r="AM10" s="75">
        <f>+AJ21</f>
        <v>22.902845978165534</v>
      </c>
      <c r="AN10" s="75">
        <v>0</v>
      </c>
      <c r="AO10" s="75">
        <f>+AI22</f>
        <v>82446.90262438143</v>
      </c>
      <c r="AP10" s="75">
        <f>+AJ22</f>
        <v>94.58864221153847</v>
      </c>
      <c r="AQ10" s="75">
        <v>0</v>
      </c>
      <c r="AR10" s="76">
        <f t="shared" si="10"/>
        <v>100781.22347882173</v>
      </c>
      <c r="AS10" s="76">
        <f t="shared" si="11"/>
        <v>117.491488189704</v>
      </c>
      <c r="AT10" s="76">
        <f t="shared" si="12"/>
        <v>0</v>
      </c>
      <c r="AU10" s="258" t="b">
        <f t="shared" si="14"/>
        <v>1</v>
      </c>
      <c r="AV10" s="32"/>
      <c r="AW10" s="45" t="s">
        <v>245</v>
      </c>
      <c r="AX10" s="46" t="s">
        <v>2</v>
      </c>
      <c r="AY10" s="263" t="s">
        <v>244</v>
      </c>
      <c r="AZ10" s="47" t="s">
        <v>98</v>
      </c>
      <c r="BD10" s="32"/>
      <c r="BT10" s="52" t="s">
        <v>112</v>
      </c>
    </row>
    <row r="11" spans="1:74" x14ac:dyDescent="0.25">
      <c r="A11" s="49">
        <f t="shared" si="1"/>
        <v>2027</v>
      </c>
      <c r="B11" s="72">
        <v>19121.253800239192</v>
      </c>
      <c r="C11" s="72">
        <v>111.47422789990381</v>
      </c>
      <c r="D11" s="72">
        <v>0</v>
      </c>
      <c r="E11" s="32"/>
      <c r="F11" s="32"/>
      <c r="G11" s="49">
        <f t="shared" si="2"/>
        <v>2027</v>
      </c>
      <c r="H11" s="240">
        <f t="shared" si="15"/>
        <v>16299.200435718163</v>
      </c>
      <c r="I11" s="240">
        <f t="shared" si="15"/>
        <v>93.588532118435253</v>
      </c>
      <c r="J11" s="240">
        <v>0</v>
      </c>
      <c r="K11" s="240">
        <f t="shared" si="16"/>
        <v>2822.0533645210271</v>
      </c>
      <c r="L11" s="240">
        <f t="shared" si="16"/>
        <v>17.885695781468549</v>
      </c>
      <c r="M11" s="240">
        <v>0</v>
      </c>
      <c r="N11" s="73">
        <f t="shared" si="3"/>
        <v>19121.253800239188</v>
      </c>
      <c r="O11" s="73">
        <f t="shared" si="4"/>
        <v>111.47422789990381</v>
      </c>
      <c r="P11" s="73">
        <f t="shared" si="5"/>
        <v>0</v>
      </c>
      <c r="Q11" s="74">
        <f t="shared" si="6"/>
        <v>0.85241274479157203</v>
      </c>
      <c r="R11" s="74">
        <f t="shared" si="13"/>
        <v>0.83955308667821693</v>
      </c>
      <c r="S11" s="74" t="s">
        <v>156</v>
      </c>
      <c r="T11" s="74">
        <f t="shared" si="7"/>
        <v>0.14758725520842811</v>
      </c>
      <c r="U11" s="74">
        <f t="shared" si="8"/>
        <v>0.16044691332178299</v>
      </c>
      <c r="V11" s="74" t="s">
        <v>156</v>
      </c>
      <c r="W11" s="74">
        <v>1</v>
      </c>
      <c r="X11" s="74">
        <v>1</v>
      </c>
      <c r="Y11" s="74">
        <v>0</v>
      </c>
      <c r="Z11" s="51">
        <v>0</v>
      </c>
      <c r="AB11" s="49">
        <f t="shared" si="9"/>
        <v>2027</v>
      </c>
      <c r="AC11" s="75">
        <f>+AK18</f>
        <v>294.95011787790719</v>
      </c>
      <c r="AD11" s="75">
        <v>0</v>
      </c>
      <c r="AE11" s="75">
        <v>0</v>
      </c>
      <c r="AF11" s="75">
        <f>+AK19</f>
        <v>10851.336481617147</v>
      </c>
      <c r="AG11" s="75">
        <v>0</v>
      </c>
      <c r="AH11" s="75">
        <v>0</v>
      </c>
      <c r="AI11" s="75">
        <v>0</v>
      </c>
      <c r="AJ11" s="75">
        <v>0</v>
      </c>
      <c r="AK11" s="75">
        <v>0</v>
      </c>
      <c r="AL11" s="75">
        <v>0</v>
      </c>
      <c r="AM11" s="75">
        <f>+AL21</f>
        <v>21.468079149903794</v>
      </c>
      <c r="AN11" s="75">
        <v>0</v>
      </c>
      <c r="AO11" s="75">
        <f>+AK22</f>
        <v>7974.9672007441386</v>
      </c>
      <c r="AP11" s="75">
        <f>+AL22</f>
        <v>90.006148750000008</v>
      </c>
      <c r="AQ11" s="75">
        <v>0</v>
      </c>
      <c r="AR11" s="76">
        <f t="shared" si="10"/>
        <v>19121.253800239192</v>
      </c>
      <c r="AS11" s="76">
        <f t="shared" si="11"/>
        <v>111.47422789990381</v>
      </c>
      <c r="AT11" s="76">
        <f t="shared" si="12"/>
        <v>0</v>
      </c>
      <c r="AU11" s="32" t="b">
        <f t="shared" si="14"/>
        <v>1</v>
      </c>
      <c r="AV11" s="32"/>
      <c r="AW11" s="32"/>
      <c r="AX11" s="79">
        <f>+AX12/$BA$5</f>
        <v>0.1200372965402435</v>
      </c>
      <c r="AY11" s="79">
        <f>+AY12/$BA$5</f>
        <v>8.7083956331293011E-2</v>
      </c>
      <c r="AZ11" s="79">
        <f>+AZ12/$BA$5</f>
        <v>0.20712125287153649</v>
      </c>
      <c r="BD11" s="32"/>
      <c r="BT11" s="52" t="s">
        <v>113</v>
      </c>
    </row>
    <row r="12" spans="1:74" x14ac:dyDescent="0.25">
      <c r="A12" s="49">
        <f t="shared" si="1"/>
        <v>2028</v>
      </c>
      <c r="B12" s="72">
        <v>7844.0208254031058</v>
      </c>
      <c r="C12" s="72">
        <v>105.58295986861528</v>
      </c>
      <c r="D12" s="72">
        <v>0</v>
      </c>
      <c r="E12" s="32"/>
      <c r="F12" s="32"/>
      <c r="G12" s="49">
        <f t="shared" si="2"/>
        <v>2028</v>
      </c>
      <c r="H12" s="240">
        <f t="shared" si="15"/>
        <v>7651.9185476981656</v>
      </c>
      <c r="I12" s="240">
        <f t="shared" si="15"/>
        <v>93.588868168435255</v>
      </c>
      <c r="J12" s="240">
        <v>0</v>
      </c>
      <c r="K12" s="240">
        <f>+SUMIFS($G$21:$V$21,$G$17:$V$17,K$3,$G$18:$V$18,$G12)</f>
        <v>192.10227770494021</v>
      </c>
      <c r="L12" s="240">
        <f t="shared" si="16"/>
        <v>11.994091700180022</v>
      </c>
      <c r="M12" s="240">
        <v>0</v>
      </c>
      <c r="N12" s="73">
        <f t="shared" si="3"/>
        <v>7844.0208254031058</v>
      </c>
      <c r="O12" s="73">
        <f t="shared" si="4"/>
        <v>105.58295986861528</v>
      </c>
      <c r="P12" s="73">
        <f t="shared" si="5"/>
        <v>0</v>
      </c>
      <c r="Q12" s="74">
        <f t="shared" si="6"/>
        <v>0.97550971855112734</v>
      </c>
      <c r="R12" s="74">
        <f t="shared" si="13"/>
        <v>0.88640125532467395</v>
      </c>
      <c r="S12" s="74" t="s">
        <v>156</v>
      </c>
      <c r="T12" s="74">
        <f t="shared" si="7"/>
        <v>2.4490281448872622E-2</v>
      </c>
      <c r="U12" s="74">
        <f t="shared" si="8"/>
        <v>0.11359874467532603</v>
      </c>
      <c r="V12" s="74" t="s">
        <v>156</v>
      </c>
      <c r="W12" s="74">
        <v>1</v>
      </c>
      <c r="X12" s="74">
        <v>1</v>
      </c>
      <c r="Y12" s="74">
        <v>0</v>
      </c>
      <c r="Z12" s="51">
        <v>0</v>
      </c>
      <c r="AB12" s="49">
        <f t="shared" si="9"/>
        <v>2028</v>
      </c>
      <c r="AC12" s="75">
        <f>+AM18</f>
        <v>278.1809966190566</v>
      </c>
      <c r="AD12" s="75">
        <v>0</v>
      </c>
      <c r="AE12" s="75">
        <v>0</v>
      </c>
      <c r="AF12" s="75">
        <f>+AM19</f>
        <v>6640.4444444444462</v>
      </c>
      <c r="AG12" s="75">
        <v>0</v>
      </c>
      <c r="AH12" s="75">
        <v>0</v>
      </c>
      <c r="AI12" s="75">
        <v>0</v>
      </c>
      <c r="AJ12" s="75">
        <v>0</v>
      </c>
      <c r="AK12" s="75">
        <v>0</v>
      </c>
      <c r="AL12" s="75">
        <v>0</v>
      </c>
      <c r="AM12" s="75">
        <f>+AN21</f>
        <v>20.15930458015373</v>
      </c>
      <c r="AN12" s="75">
        <v>0</v>
      </c>
      <c r="AO12" s="75">
        <f>+AM22</f>
        <v>925.39538433960297</v>
      </c>
      <c r="AP12" s="75">
        <f>+AN22</f>
        <v>85.423655288461546</v>
      </c>
      <c r="AQ12" s="75">
        <v>0</v>
      </c>
      <c r="AR12" s="76">
        <f t="shared" si="10"/>
        <v>7844.0208254031058</v>
      </c>
      <c r="AS12" s="76">
        <f t="shared" si="11"/>
        <v>105.58295986861528</v>
      </c>
      <c r="AT12" s="76">
        <f t="shared" si="12"/>
        <v>0</v>
      </c>
      <c r="AU12" s="32" t="b">
        <f t="shared" si="14"/>
        <v>1</v>
      </c>
      <c r="AV12" s="32"/>
      <c r="AW12" s="32"/>
      <c r="AX12" s="77">
        <f>+'Servicios Deuda Anual'!F12+'Servicios Deuda Anual'!F15+'Servicios Deuda Anual'!F16+'Servicios Deuda Anual'!F35+'Servicios Deuda Anual'!F36+'Servicios Deuda Anual'!F39+'Servicios Deuda Anual'!F40+'Servicios Deuda Anual'!F41+'Servicios Deuda Anual'!F42</f>
        <v>76.577301979178216</v>
      </c>
      <c r="AY12" s="77">
        <f>+'Servicios Deuda Anual'!F10+'Servicios Deuda Anual'!F11+'Servicios Deuda Anual'!F13+'Servicios Deuda Anual'!F37+'Servicios Deuda Anual'!F38</f>
        <v>55.554853480786875</v>
      </c>
      <c r="AZ12" s="77">
        <f>SUM(AX12:AY12)</f>
        <v>132.13215545996508</v>
      </c>
      <c r="BD12" s="32"/>
    </row>
    <row r="13" spans="1:74" x14ac:dyDescent="0.25">
      <c r="A13" s="49">
        <f t="shared" si="1"/>
        <v>2029</v>
      </c>
      <c r="B13" s="72">
        <v>1150.1622998650691</v>
      </c>
      <c r="C13" s="72">
        <v>59.771379347654303</v>
      </c>
      <c r="D13" s="72">
        <v>0</v>
      </c>
      <c r="E13" s="32"/>
      <c r="F13" s="32"/>
      <c r="G13" s="49">
        <f t="shared" si="2"/>
        <v>2029</v>
      </c>
      <c r="H13" s="240">
        <f t="shared" si="15"/>
        <v>1011.4741032537194</v>
      </c>
      <c r="I13" s="240">
        <f t="shared" si="15"/>
        <v>53.741438997666023</v>
      </c>
      <c r="J13" s="240">
        <v>0</v>
      </c>
      <c r="K13" s="240">
        <f t="shared" si="16"/>
        <v>138.6881966113497</v>
      </c>
      <c r="L13" s="240">
        <f t="shared" si="16"/>
        <v>6.02994034998828</v>
      </c>
      <c r="M13" s="240">
        <v>0</v>
      </c>
      <c r="N13" s="73">
        <f t="shared" si="3"/>
        <v>1150.1622998650691</v>
      </c>
      <c r="O13" s="73">
        <f t="shared" si="4"/>
        <v>59.771379347654303</v>
      </c>
      <c r="P13" s="73">
        <f t="shared" si="5"/>
        <v>0</v>
      </c>
      <c r="Q13" s="74">
        <f t="shared" si="6"/>
        <v>0.87941858585730037</v>
      </c>
      <c r="R13" s="74">
        <f t="shared" si="13"/>
        <v>0.89911659366407237</v>
      </c>
      <c r="S13" s="74" t="s">
        <v>156</v>
      </c>
      <c r="T13" s="74">
        <f t="shared" si="7"/>
        <v>0.12058141414269956</v>
      </c>
      <c r="U13" s="74">
        <f t="shared" si="8"/>
        <v>0.1008834063359276</v>
      </c>
      <c r="V13" s="74" t="s">
        <v>156</v>
      </c>
      <c r="W13" s="74">
        <v>1</v>
      </c>
      <c r="X13" s="74">
        <v>1</v>
      </c>
      <c r="Y13" s="74">
        <v>0</v>
      </c>
      <c r="Z13" s="51">
        <v>0</v>
      </c>
      <c r="AB13" s="49">
        <f t="shared" si="9"/>
        <v>2029</v>
      </c>
      <c r="AC13" s="75">
        <f>+AO18</f>
        <v>262.45137924683257</v>
      </c>
      <c r="AD13" s="75">
        <v>0</v>
      </c>
      <c r="AE13" s="75">
        <v>0</v>
      </c>
      <c r="AF13" s="75">
        <f>+AO19</f>
        <v>0</v>
      </c>
      <c r="AG13" s="75">
        <v>0</v>
      </c>
      <c r="AH13" s="75">
        <v>0</v>
      </c>
      <c r="AI13" s="75">
        <v>0</v>
      </c>
      <c r="AJ13" s="75">
        <v>0</v>
      </c>
      <c r="AK13" s="75">
        <v>0</v>
      </c>
      <c r="AL13" s="75">
        <v>0</v>
      </c>
      <c r="AM13" s="75">
        <f>+AP21</f>
        <v>18.777986751500453</v>
      </c>
      <c r="AN13" s="75">
        <v>0</v>
      </c>
      <c r="AO13" s="75">
        <f>+AO22</f>
        <v>887.71092061823651</v>
      </c>
      <c r="AP13" s="75">
        <f>+AP22</f>
        <v>40.993392596153853</v>
      </c>
      <c r="AQ13" s="75">
        <v>0</v>
      </c>
      <c r="AR13" s="76">
        <f t="shared" si="10"/>
        <v>1150.1622998650691</v>
      </c>
      <c r="AS13" s="76">
        <f t="shared" si="11"/>
        <v>59.771379347654303</v>
      </c>
      <c r="AT13" s="76">
        <f t="shared" si="12"/>
        <v>0</v>
      </c>
      <c r="AU13" s="32" t="b">
        <f t="shared" si="14"/>
        <v>1</v>
      </c>
      <c r="AV13" s="32"/>
      <c r="AW13" s="32"/>
      <c r="BD13" s="32"/>
    </row>
    <row r="14" spans="1:74" x14ac:dyDescent="0.25">
      <c r="A14" s="49" t="s">
        <v>164</v>
      </c>
      <c r="B14" s="73">
        <v>212.81056355716242</v>
      </c>
      <c r="C14" s="73">
        <v>12.703251589753044</v>
      </c>
      <c r="D14" s="73">
        <v>0</v>
      </c>
      <c r="E14" s="32"/>
      <c r="F14" s="32"/>
      <c r="G14" s="49" t="s">
        <v>164</v>
      </c>
      <c r="H14" s="241">
        <f t="shared" si="15"/>
        <v>185.96730601911199</v>
      </c>
      <c r="I14" s="241">
        <f t="shared" si="15"/>
        <v>10.326127043125618</v>
      </c>
      <c r="J14" s="241">
        <v>0</v>
      </c>
      <c r="K14" s="241">
        <f t="shared" si="16"/>
        <v>26.843257538050434</v>
      </c>
      <c r="L14" s="241">
        <f t="shared" si="16"/>
        <v>2.3771245466274253</v>
      </c>
      <c r="M14" s="241">
        <v>0</v>
      </c>
      <c r="N14" s="73">
        <f t="shared" si="3"/>
        <v>212.81056355716242</v>
      </c>
      <c r="O14" s="73">
        <f t="shared" si="4"/>
        <v>12.703251589753044</v>
      </c>
      <c r="P14" s="73">
        <f t="shared" si="5"/>
        <v>0</v>
      </c>
      <c r="Q14" s="74">
        <f t="shared" si="6"/>
        <v>0.87386313400349536</v>
      </c>
      <c r="R14" s="74">
        <f t="shared" si="13"/>
        <v>0.81287274916723595</v>
      </c>
      <c r="S14" s="74" t="s">
        <v>156</v>
      </c>
      <c r="T14" s="74">
        <f t="shared" si="7"/>
        <v>0.12613686599650464</v>
      </c>
      <c r="U14" s="74">
        <f t="shared" si="8"/>
        <v>0.18712725083276394</v>
      </c>
      <c r="V14" s="74" t="s">
        <v>156</v>
      </c>
      <c r="W14" s="74">
        <v>1</v>
      </c>
      <c r="X14" s="74">
        <v>1</v>
      </c>
      <c r="Y14" s="74">
        <v>0</v>
      </c>
      <c r="Z14" s="51">
        <v>0</v>
      </c>
      <c r="AB14" s="49" t="s">
        <v>164</v>
      </c>
      <c r="AC14" s="73">
        <f>+AQ18</f>
        <v>212.81056355716242</v>
      </c>
      <c r="AD14" s="73">
        <v>0</v>
      </c>
      <c r="AE14" s="73">
        <v>0</v>
      </c>
      <c r="AF14" s="73">
        <f>+AQ19</f>
        <v>0</v>
      </c>
      <c r="AG14" s="73">
        <v>0</v>
      </c>
      <c r="AH14" s="73">
        <v>0</v>
      </c>
      <c r="AI14" s="73">
        <v>0</v>
      </c>
      <c r="AJ14" s="73">
        <v>0</v>
      </c>
      <c r="AK14" s="73">
        <v>0</v>
      </c>
      <c r="AL14" s="73">
        <v>0</v>
      </c>
      <c r="AM14" s="73">
        <f>+AR21</f>
        <v>12.703251589753044</v>
      </c>
      <c r="AN14" s="73">
        <v>0</v>
      </c>
      <c r="AO14" s="73">
        <f>+AQ22</f>
        <v>0</v>
      </c>
      <c r="AP14" s="73">
        <f>+AR22</f>
        <v>0</v>
      </c>
      <c r="AQ14" s="73">
        <v>0</v>
      </c>
      <c r="AR14" s="76">
        <f t="shared" si="10"/>
        <v>212.81056355716242</v>
      </c>
      <c r="AS14" s="76">
        <f t="shared" si="11"/>
        <v>12.703251589753044</v>
      </c>
      <c r="AT14" s="76">
        <f t="shared" si="12"/>
        <v>0</v>
      </c>
      <c r="AU14" s="32" t="b">
        <f t="shared" si="14"/>
        <v>1</v>
      </c>
      <c r="AV14" s="32"/>
      <c r="AW14" s="32"/>
      <c r="AY14" s="88" t="s">
        <v>137</v>
      </c>
      <c r="AZ14" s="89">
        <f>+AZ12+AY5-'Servicios Deuda Anual'!$F$44</f>
        <v>0</v>
      </c>
      <c r="BD14" s="32"/>
      <c r="BT14" s="52"/>
    </row>
    <row r="15" spans="1:74" x14ac:dyDescent="0.25">
      <c r="A15" s="91"/>
      <c r="B15" s="92"/>
      <c r="C15" s="92"/>
      <c r="D15" s="92"/>
      <c r="E15" s="32"/>
      <c r="F15" s="32"/>
      <c r="G15" s="91"/>
      <c r="H15" s="92"/>
      <c r="I15" s="92"/>
      <c r="J15" s="92"/>
      <c r="K15" s="92"/>
      <c r="L15" s="92"/>
      <c r="M15" s="92"/>
      <c r="N15" s="93"/>
      <c r="O15" s="93"/>
      <c r="P15" s="93"/>
      <c r="Q15" s="94"/>
      <c r="R15" s="94"/>
      <c r="S15" s="94"/>
      <c r="T15" s="94"/>
      <c r="U15" s="94"/>
      <c r="V15" s="94"/>
      <c r="W15" s="94"/>
      <c r="X15" s="94"/>
      <c r="Y15" s="94"/>
      <c r="Z15" s="51"/>
      <c r="AB15" s="91"/>
      <c r="AC15" s="95"/>
      <c r="AD15" s="95"/>
      <c r="AE15" s="95"/>
      <c r="AF15" s="95"/>
      <c r="AG15" s="95"/>
      <c r="AH15" s="95"/>
      <c r="AI15" s="95"/>
      <c r="AJ15" s="95"/>
      <c r="AK15" s="95"/>
      <c r="AL15" s="95"/>
      <c r="AM15" s="95"/>
      <c r="AN15" s="95"/>
      <c r="AO15" s="95"/>
      <c r="AP15" s="95"/>
      <c r="AQ15" s="95"/>
      <c r="AR15" s="96"/>
      <c r="AS15" s="96"/>
      <c r="AT15" s="96"/>
      <c r="AU15" s="32"/>
      <c r="AV15" s="32"/>
      <c r="AW15" s="32"/>
      <c r="BD15" s="32"/>
    </row>
    <row r="16" spans="1:74" x14ac:dyDescent="0.25">
      <c r="A16" s="91"/>
      <c r="B16" s="92"/>
      <c r="C16" s="92"/>
      <c r="D16" s="92"/>
      <c r="E16" s="32"/>
      <c r="F16" s="32"/>
      <c r="G16" s="91"/>
      <c r="H16" s="92"/>
      <c r="I16" s="92"/>
      <c r="J16" s="92"/>
      <c r="K16" s="92"/>
      <c r="L16" s="92"/>
      <c r="M16" s="92"/>
      <c r="N16" s="93"/>
      <c r="O16" s="93"/>
      <c r="P16" s="93"/>
      <c r="Q16" s="94"/>
      <c r="R16" s="94"/>
      <c r="S16" s="94"/>
      <c r="T16" s="94"/>
      <c r="U16" s="94"/>
      <c r="V16" s="94"/>
      <c r="W16" s="94"/>
      <c r="X16" s="94"/>
      <c r="Y16" s="94"/>
      <c r="Z16" s="51"/>
      <c r="AB16" s="91"/>
      <c r="AC16" s="95"/>
      <c r="AD16" s="95"/>
      <c r="AE16" s="95"/>
      <c r="AF16" s="95"/>
      <c r="AG16" s="95"/>
      <c r="AH16" s="95"/>
      <c r="AI16" s="95"/>
      <c r="AJ16" s="95"/>
      <c r="AK16" s="95"/>
      <c r="AL16" s="95"/>
      <c r="AM16" s="95"/>
      <c r="AN16" s="95"/>
      <c r="AO16" s="95"/>
      <c r="AP16" s="95"/>
      <c r="AQ16" s="95"/>
      <c r="AR16" s="96"/>
      <c r="AS16" s="96"/>
      <c r="AT16" s="96"/>
      <c r="AU16" s="32"/>
      <c r="AV16" s="32"/>
      <c r="AW16" s="32"/>
      <c r="BD16" s="32"/>
    </row>
    <row r="17" spans="1:68" x14ac:dyDescent="0.25">
      <c r="A17" s="91"/>
      <c r="B17" s="92"/>
      <c r="C17" s="92"/>
      <c r="D17" s="92"/>
      <c r="E17" s="32"/>
      <c r="F17" s="32"/>
      <c r="G17" s="91" t="s">
        <v>2</v>
      </c>
      <c r="H17" s="92" t="s">
        <v>95</v>
      </c>
      <c r="I17" s="91" t="s">
        <v>2</v>
      </c>
      <c r="J17" s="92" t="s">
        <v>95</v>
      </c>
      <c r="K17" s="91" t="s">
        <v>2</v>
      </c>
      <c r="L17" s="92" t="s">
        <v>95</v>
      </c>
      <c r="M17" s="91" t="s">
        <v>2</v>
      </c>
      <c r="N17" s="92" t="s">
        <v>95</v>
      </c>
      <c r="O17" s="91" t="s">
        <v>2</v>
      </c>
      <c r="P17" s="92" t="s">
        <v>95</v>
      </c>
      <c r="Q17" s="91" t="s">
        <v>2</v>
      </c>
      <c r="R17" s="92" t="s">
        <v>95</v>
      </c>
      <c r="S17" s="91" t="s">
        <v>2</v>
      </c>
      <c r="T17" s="92" t="s">
        <v>95</v>
      </c>
      <c r="U17" s="91" t="s">
        <v>2</v>
      </c>
      <c r="V17" s="92" t="s">
        <v>95</v>
      </c>
      <c r="W17" s="94"/>
      <c r="X17" s="94"/>
      <c r="Y17" s="94"/>
      <c r="Z17" s="51"/>
      <c r="AB17" s="91"/>
      <c r="AC17" s="91">
        <v>2023</v>
      </c>
      <c r="AD17" s="91">
        <v>2023</v>
      </c>
      <c r="AE17" s="91">
        <v>2024</v>
      </c>
      <c r="AF17" s="91">
        <v>2024</v>
      </c>
      <c r="AG17" s="91">
        <v>2025</v>
      </c>
      <c r="AH17" s="91">
        <v>2025</v>
      </c>
      <c r="AI17" s="91">
        <v>2026</v>
      </c>
      <c r="AJ17" s="91">
        <v>2026</v>
      </c>
      <c r="AK17" s="91">
        <v>2027</v>
      </c>
      <c r="AL17" s="91">
        <v>2027</v>
      </c>
      <c r="AM17" s="91">
        <v>2028</v>
      </c>
      <c r="AN17" s="91">
        <v>2028</v>
      </c>
      <c r="AO17" s="91">
        <v>2029</v>
      </c>
      <c r="AP17" s="91">
        <v>2029</v>
      </c>
      <c r="AQ17" s="91" t="s">
        <v>162</v>
      </c>
      <c r="AR17" s="91" t="s">
        <v>162</v>
      </c>
      <c r="AS17" s="96"/>
      <c r="AT17" s="96"/>
      <c r="AU17" s="32"/>
      <c r="AV17" s="32"/>
      <c r="AW17" s="32"/>
      <c r="BD17" s="32"/>
    </row>
    <row r="18" spans="1:68" x14ac:dyDescent="0.25">
      <c r="A18" s="91">
        <v>2023</v>
      </c>
      <c r="B18" s="128">
        <v>57379.118437812736</v>
      </c>
      <c r="C18" s="128">
        <v>130.1440193267137</v>
      </c>
      <c r="D18" s="92"/>
      <c r="E18" s="32"/>
      <c r="F18" s="32"/>
      <c r="G18" s="91">
        <v>2023</v>
      </c>
      <c r="H18" s="91">
        <v>2023</v>
      </c>
      <c r="I18" s="91">
        <v>2024</v>
      </c>
      <c r="J18" s="91">
        <v>2024</v>
      </c>
      <c r="K18" s="91">
        <v>2025</v>
      </c>
      <c r="L18" s="91">
        <v>2025</v>
      </c>
      <c r="M18" s="91">
        <v>2026</v>
      </c>
      <c r="N18" s="91">
        <v>2026</v>
      </c>
      <c r="O18" s="91">
        <v>2027</v>
      </c>
      <c r="P18" s="91">
        <v>2027</v>
      </c>
      <c r="Q18" s="91">
        <v>2028</v>
      </c>
      <c r="R18" s="91">
        <v>2028</v>
      </c>
      <c r="S18" s="91">
        <v>2029</v>
      </c>
      <c r="T18" s="91">
        <v>2029</v>
      </c>
      <c r="U18" s="91" t="s">
        <v>164</v>
      </c>
      <c r="V18" s="91" t="s">
        <v>164</v>
      </c>
      <c r="W18" s="94"/>
      <c r="X18" s="94"/>
      <c r="Y18" s="94"/>
      <c r="Z18" s="51"/>
      <c r="AB18" s="91" t="s">
        <v>166</v>
      </c>
      <c r="AC18" s="191">
        <v>15170.333164879847</v>
      </c>
      <c r="AD18" s="191">
        <v>0</v>
      </c>
      <c r="AE18" s="191">
        <v>1771.5594249790502</v>
      </c>
      <c r="AF18" s="191">
        <v>0</v>
      </c>
      <c r="AG18" s="243">
        <v>544.15071828691418</v>
      </c>
      <c r="AH18" s="243">
        <v>0</v>
      </c>
      <c r="AI18" s="243">
        <v>366.40623828243469</v>
      </c>
      <c r="AJ18" s="243">
        <v>0</v>
      </c>
      <c r="AK18" s="243">
        <v>294.95011787790719</v>
      </c>
      <c r="AL18" s="243">
        <v>0</v>
      </c>
      <c r="AM18" s="243">
        <v>278.1809966190566</v>
      </c>
      <c r="AN18" s="243">
        <v>0</v>
      </c>
      <c r="AO18" s="243">
        <v>262.45137924683257</v>
      </c>
      <c r="AP18" s="243">
        <v>0</v>
      </c>
      <c r="AQ18" s="243">
        <v>212.81056355716242</v>
      </c>
      <c r="AR18" s="96">
        <v>0</v>
      </c>
      <c r="AS18" s="96"/>
      <c r="AT18" s="96"/>
      <c r="AU18" s="32"/>
      <c r="AV18" s="32"/>
      <c r="AW18" s="32"/>
      <c r="BD18" s="32"/>
    </row>
    <row r="19" spans="1:68" x14ac:dyDescent="0.25">
      <c r="A19" s="91">
        <v>2024</v>
      </c>
      <c r="B19" s="128">
        <v>54826.867208328862</v>
      </c>
      <c r="C19" s="128">
        <v>130.71939450674998</v>
      </c>
      <c r="D19" s="108"/>
      <c r="E19" s="32"/>
      <c r="F19" s="32" t="s">
        <v>206</v>
      </c>
      <c r="G19" s="189">
        <v>57379.118437812736</v>
      </c>
      <c r="H19" s="190">
        <v>130.1440193267137</v>
      </c>
      <c r="I19" s="276">
        <v>54826.867208328862</v>
      </c>
      <c r="J19" s="276">
        <v>130.71939450674998</v>
      </c>
      <c r="K19" s="254">
        <v>70628.112626046117</v>
      </c>
      <c r="L19" s="254">
        <v>129.23331412624663</v>
      </c>
      <c r="M19" s="254">
        <v>100781.22347882173</v>
      </c>
      <c r="N19" s="255">
        <v>117.491488189704</v>
      </c>
      <c r="O19" s="255">
        <v>19121.253800239192</v>
      </c>
      <c r="P19" s="255">
        <v>111.47422789990381</v>
      </c>
      <c r="Q19" s="256">
        <v>7844.0208254031058</v>
      </c>
      <c r="R19" s="256">
        <v>105.58295986861528</v>
      </c>
      <c r="S19" s="256">
        <v>1150.1622998650691</v>
      </c>
      <c r="T19" s="256">
        <v>59.771379347654303</v>
      </c>
      <c r="U19" s="256">
        <v>212.81056355716242</v>
      </c>
      <c r="V19" s="256">
        <v>12.703251589753044</v>
      </c>
      <c r="W19" s="94"/>
      <c r="X19" s="94"/>
      <c r="Y19" s="94"/>
      <c r="Z19" s="51"/>
      <c r="AB19" s="91" t="s">
        <v>167</v>
      </c>
      <c r="AC19" s="191">
        <v>19546.544825953002</v>
      </c>
      <c r="AD19" s="191">
        <v>0</v>
      </c>
      <c r="AE19" s="191">
        <v>13647.143545820103</v>
      </c>
      <c r="AF19" s="191">
        <v>0</v>
      </c>
      <c r="AG19" s="243">
        <v>14952.344600552928</v>
      </c>
      <c r="AH19" s="243">
        <v>0</v>
      </c>
      <c r="AI19" s="243">
        <v>17967.914616157872</v>
      </c>
      <c r="AJ19" s="243">
        <v>0</v>
      </c>
      <c r="AK19" s="243">
        <v>10851.336481617147</v>
      </c>
      <c r="AL19" s="243">
        <v>0</v>
      </c>
      <c r="AM19" s="243">
        <v>6640.4444444444462</v>
      </c>
      <c r="AN19" s="243">
        <v>0</v>
      </c>
      <c r="AO19" s="243">
        <v>0</v>
      </c>
      <c r="AP19" s="243">
        <v>0</v>
      </c>
      <c r="AQ19" s="95">
        <v>0</v>
      </c>
      <c r="AR19" s="96">
        <v>0</v>
      </c>
      <c r="AS19" s="96"/>
      <c r="AT19" s="96"/>
      <c r="AU19" s="32"/>
      <c r="AV19" s="32"/>
      <c r="AW19" s="32"/>
      <c r="BD19" s="32"/>
    </row>
    <row r="20" spans="1:68" ht="27" customHeight="1" x14ac:dyDescent="0.25">
      <c r="A20" s="91">
        <v>2025</v>
      </c>
      <c r="B20" s="240">
        <v>70628.112626046117</v>
      </c>
      <c r="C20" s="240">
        <v>129.23331412624663</v>
      </c>
      <c r="D20" s="92"/>
      <c r="E20" s="32"/>
      <c r="F20" s="32" t="s">
        <v>83</v>
      </c>
      <c r="G20" s="189">
        <v>28597.187327013424</v>
      </c>
      <c r="H20" s="190">
        <v>96.00533608296891</v>
      </c>
      <c r="I20" s="276">
        <v>36598.278251564181</v>
      </c>
      <c r="J20" s="276">
        <v>96.06220686135859</v>
      </c>
      <c r="K20" s="254">
        <v>45952.702007692766</v>
      </c>
      <c r="L20" s="254">
        <v>97.944727691720786</v>
      </c>
      <c r="M20" s="254">
        <v>82479.700773650649</v>
      </c>
      <c r="N20" s="255">
        <v>93.588200038435261</v>
      </c>
      <c r="O20" s="255">
        <v>16299.200435718163</v>
      </c>
      <c r="P20" s="255">
        <v>93.588532118435253</v>
      </c>
      <c r="Q20" s="256">
        <v>7651.9185476981656</v>
      </c>
      <c r="R20" s="256">
        <v>93.588868168435255</v>
      </c>
      <c r="S20" s="256">
        <v>1011.4741032537194</v>
      </c>
      <c r="T20" s="256">
        <v>53.741438997666023</v>
      </c>
      <c r="U20" s="256">
        <v>185.96730601911199</v>
      </c>
      <c r="V20" s="256">
        <v>10.326127043125618</v>
      </c>
      <c r="W20" s="94"/>
      <c r="X20" s="94"/>
      <c r="Y20" s="94"/>
      <c r="Z20" s="51"/>
      <c r="AB20" s="91" t="s">
        <v>169</v>
      </c>
      <c r="AC20" s="191"/>
      <c r="AD20" s="191"/>
      <c r="AE20" s="191"/>
      <c r="AF20" s="191"/>
      <c r="AG20" s="95">
        <v>0</v>
      </c>
      <c r="AH20" s="95"/>
      <c r="AI20" s="95"/>
      <c r="AJ20" s="95"/>
      <c r="AK20" s="95"/>
      <c r="AL20" s="95"/>
      <c r="AM20" s="95"/>
      <c r="AN20" s="95"/>
      <c r="AO20" s="95"/>
      <c r="AP20" s="95"/>
      <c r="AQ20" s="95"/>
      <c r="AR20" s="96"/>
      <c r="AS20" s="96"/>
      <c r="AT20" s="96"/>
      <c r="AU20" s="32"/>
      <c r="AV20" s="32"/>
      <c r="AW20" s="32"/>
      <c r="BD20" s="45" t="s">
        <v>243</v>
      </c>
      <c r="BE20" s="47" t="s">
        <v>85</v>
      </c>
      <c r="BF20" s="47" t="s">
        <v>86</v>
      </c>
      <c r="BG20" s="48" t="s">
        <v>87</v>
      </c>
      <c r="BH20" s="48" t="s">
        <v>88</v>
      </c>
      <c r="BI20" s="48" t="s">
        <v>89</v>
      </c>
      <c r="BJ20" s="47" t="s">
        <v>98</v>
      </c>
    </row>
    <row r="21" spans="1:68" ht="18" x14ac:dyDescent="0.25">
      <c r="A21" s="91">
        <v>2026</v>
      </c>
      <c r="B21" s="240">
        <v>100781.22347882173</v>
      </c>
      <c r="C21" s="240">
        <v>117.491488189704</v>
      </c>
      <c r="D21" s="92"/>
      <c r="E21" s="32"/>
      <c r="F21" s="32" t="s">
        <v>84</v>
      </c>
      <c r="G21" s="189">
        <v>28781.931110799313</v>
      </c>
      <c r="H21" s="190">
        <v>34.138683243744772</v>
      </c>
      <c r="I21" s="276">
        <v>18228.588956764681</v>
      </c>
      <c r="J21" s="276">
        <v>34.657187645391396</v>
      </c>
      <c r="K21" s="254">
        <v>24675.410618353348</v>
      </c>
      <c r="L21" s="254">
        <v>31.288586434525826</v>
      </c>
      <c r="M21" s="254">
        <v>18301.522705171104</v>
      </c>
      <c r="N21" s="255">
        <v>23.90328815126875</v>
      </c>
      <c r="O21" s="255">
        <v>2822.0533645210271</v>
      </c>
      <c r="P21" s="255">
        <v>17.885695781468549</v>
      </c>
      <c r="Q21" s="256">
        <v>192.10227770494021</v>
      </c>
      <c r="R21" s="256">
        <v>11.994091700180022</v>
      </c>
      <c r="S21" s="256">
        <v>138.6881966113497</v>
      </c>
      <c r="T21" s="256">
        <v>6.02994034998828</v>
      </c>
      <c r="U21" s="256">
        <v>26.843257538050434</v>
      </c>
      <c r="V21" s="256">
        <v>2.3771245466274253</v>
      </c>
      <c r="W21" s="94"/>
      <c r="X21" s="94"/>
      <c r="Y21" s="94"/>
      <c r="Z21" s="51"/>
      <c r="AB21" s="91" t="s">
        <v>168</v>
      </c>
      <c r="AC21" s="191">
        <v>0</v>
      </c>
      <c r="AD21" s="191">
        <v>25.615006634405987</v>
      </c>
      <c r="AE21" s="191">
        <v>0</v>
      </c>
      <c r="AF21" s="191">
        <v>26.965765376749996</v>
      </c>
      <c r="AG21" s="243">
        <v>0</v>
      </c>
      <c r="AH21" s="243">
        <v>30.062178451631226</v>
      </c>
      <c r="AI21" s="243">
        <v>0</v>
      </c>
      <c r="AJ21" s="243">
        <v>22.902845978165534</v>
      </c>
      <c r="AK21" s="243">
        <v>0</v>
      </c>
      <c r="AL21" s="243">
        <v>21.468079149903794</v>
      </c>
      <c r="AM21" s="243">
        <v>0</v>
      </c>
      <c r="AN21" s="243">
        <v>20.15930458015373</v>
      </c>
      <c r="AO21" s="243">
        <v>0</v>
      </c>
      <c r="AP21" s="243">
        <v>18.777986751500453</v>
      </c>
      <c r="AQ21" s="243">
        <v>0</v>
      </c>
      <c r="AR21" s="244">
        <v>12.703251589753044</v>
      </c>
      <c r="AS21" s="96"/>
      <c r="AT21" s="96"/>
      <c r="AU21" s="32"/>
      <c r="AV21" s="32"/>
      <c r="AW21" s="32"/>
      <c r="BD21" s="47" t="s">
        <v>45</v>
      </c>
      <c r="BE21" s="79">
        <f>+BE22/$BJ$22</f>
        <v>2.6682473455905162E-3</v>
      </c>
      <c r="BF21" s="79">
        <f t="shared" ref="BF21:BJ21" si="17">+BF22/$BJ$22</f>
        <v>2.8218541271590635E-2</v>
      </c>
      <c r="BG21" s="79">
        <f t="shared" si="17"/>
        <v>0</v>
      </c>
      <c r="BH21" s="79">
        <f t="shared" si="17"/>
        <v>0.29317783126393443</v>
      </c>
      <c r="BI21" s="79">
        <f t="shared" si="17"/>
        <v>0.67593538011888443</v>
      </c>
      <c r="BJ21" s="79">
        <f t="shared" si="17"/>
        <v>1</v>
      </c>
      <c r="BP21" s="192" t="s">
        <v>210</v>
      </c>
    </row>
    <row r="22" spans="1:68" ht="16.5" x14ac:dyDescent="0.25">
      <c r="A22" s="91">
        <v>2027</v>
      </c>
      <c r="B22" s="240">
        <v>19121.253800239192</v>
      </c>
      <c r="C22" s="240">
        <v>111.47422789990381</v>
      </c>
      <c r="D22" s="92"/>
      <c r="E22" s="32"/>
      <c r="F22" s="32"/>
      <c r="G22" s="91"/>
      <c r="H22" s="92"/>
      <c r="I22" s="92"/>
      <c r="J22" s="92"/>
      <c r="K22" s="92"/>
      <c r="L22" s="92"/>
      <c r="M22" s="92"/>
      <c r="N22" s="93"/>
      <c r="O22" s="93"/>
      <c r="P22" s="93"/>
      <c r="Q22" s="94"/>
      <c r="R22" s="94"/>
      <c r="S22" s="94"/>
      <c r="T22" s="94"/>
      <c r="U22" s="94"/>
      <c r="V22" s="94"/>
      <c r="W22" s="94"/>
      <c r="X22" s="94"/>
      <c r="Y22" s="94"/>
      <c r="Z22" s="51"/>
      <c r="AB22" s="91" t="s">
        <v>170</v>
      </c>
      <c r="AC22" s="191">
        <v>22662.240446979886</v>
      </c>
      <c r="AD22" s="191">
        <v>104.5290126923077</v>
      </c>
      <c r="AE22" s="191">
        <v>39408.164237529709</v>
      </c>
      <c r="AF22" s="191">
        <v>103.75362912999999</v>
      </c>
      <c r="AG22" s="243">
        <v>55131.617307206274</v>
      </c>
      <c r="AH22" s="243">
        <v>99.171135674615385</v>
      </c>
      <c r="AI22" s="243">
        <v>82446.90262438143</v>
      </c>
      <c r="AJ22" s="243">
        <v>94.58864221153847</v>
      </c>
      <c r="AK22" s="243">
        <v>7974.9672007441386</v>
      </c>
      <c r="AL22" s="243">
        <v>90.006148750000008</v>
      </c>
      <c r="AM22" s="243">
        <v>925.39538433960297</v>
      </c>
      <c r="AN22" s="243">
        <v>85.423655288461546</v>
      </c>
      <c r="AO22" s="243">
        <v>887.71092061823651</v>
      </c>
      <c r="AP22" s="243">
        <v>40.993392596153853</v>
      </c>
      <c r="AQ22" s="243">
        <v>0</v>
      </c>
      <c r="AR22" s="244">
        <v>0</v>
      </c>
      <c r="AS22" s="96"/>
      <c r="AT22" s="96"/>
      <c r="AU22" s="32"/>
      <c r="AV22" s="32"/>
      <c r="AW22" s="32"/>
      <c r="BD22" s="47" t="s">
        <v>97</v>
      </c>
      <c r="BE22" s="81">
        <f>+'Servicios Deuda Anual'!F9</f>
        <v>1.7021974721825166</v>
      </c>
      <c r="BF22" s="81">
        <f>+'Servicios Deuda Anual'!F14</f>
        <v>18.00190289725527</v>
      </c>
      <c r="BG22" s="81">
        <v>0</v>
      </c>
      <c r="BH22" s="81">
        <f>+'Servicios Deuda Anual'!F17</f>
        <v>187.03159739</v>
      </c>
      <c r="BI22" s="81">
        <f>+'Servicios Deuda Anual'!F33</f>
        <v>431.21020894052725</v>
      </c>
      <c r="BJ22" s="80">
        <f>SUM(BE22:BI22)</f>
        <v>637.94590669996501</v>
      </c>
      <c r="BP22" s="193" t="s">
        <v>211</v>
      </c>
    </row>
    <row r="23" spans="1:68" ht="15.75" x14ac:dyDescent="0.25">
      <c r="A23" s="91">
        <v>2028</v>
      </c>
      <c r="B23" s="240">
        <v>7844.0208254031058</v>
      </c>
      <c r="C23" s="240">
        <v>105.58295986861528</v>
      </c>
      <c r="D23" s="92"/>
      <c r="E23" s="32"/>
      <c r="F23" s="32"/>
      <c r="G23" s="91"/>
      <c r="H23" s="92"/>
      <c r="I23" s="91"/>
      <c r="J23" s="92"/>
      <c r="K23" s="91"/>
      <c r="L23" s="92"/>
      <c r="M23" s="91"/>
      <c r="N23" s="92"/>
      <c r="O23" s="91"/>
      <c r="P23" s="92"/>
      <c r="Q23" s="91"/>
      <c r="R23" s="92"/>
      <c r="S23" s="91"/>
      <c r="T23" s="92"/>
      <c r="U23" s="91"/>
      <c r="V23" s="92"/>
      <c r="W23" s="94"/>
      <c r="X23" s="94"/>
      <c r="Y23" s="94"/>
      <c r="Z23" s="51"/>
      <c r="AB23" s="91"/>
      <c r="AC23" s="191"/>
      <c r="AD23" s="191"/>
      <c r="AE23" s="191"/>
      <c r="AF23" s="191"/>
      <c r="AG23" s="95"/>
      <c r="AH23" s="95"/>
      <c r="AI23" s="95"/>
      <c r="AJ23" s="95"/>
      <c r="AK23" s="95"/>
      <c r="AL23" s="95"/>
      <c r="AM23" s="95"/>
      <c r="AN23" s="95"/>
      <c r="AO23" s="95"/>
      <c r="AP23" s="95"/>
      <c r="AQ23" s="95"/>
      <c r="AR23" s="96"/>
      <c r="AS23" s="96"/>
      <c r="AT23" s="96"/>
      <c r="AU23" s="32"/>
      <c r="AV23" s="32"/>
      <c r="AW23" s="32"/>
      <c r="BD23" s="32"/>
      <c r="BP23" s="193" t="s">
        <v>234</v>
      </c>
    </row>
    <row r="24" spans="1:68" x14ac:dyDescent="0.25">
      <c r="A24" s="91">
        <v>2029</v>
      </c>
      <c r="B24" s="240">
        <v>1150.1622998650691</v>
      </c>
      <c r="C24" s="240">
        <v>59.771379347654303</v>
      </c>
      <c r="D24" s="92"/>
      <c r="E24" s="32"/>
      <c r="F24" s="32"/>
      <c r="G24" s="91"/>
      <c r="H24" s="91"/>
      <c r="I24" s="91"/>
      <c r="J24" s="91"/>
      <c r="K24" s="91"/>
      <c r="L24" s="91"/>
      <c r="M24" s="91"/>
      <c r="N24" s="91"/>
      <c r="O24" s="91"/>
      <c r="P24" s="91"/>
      <c r="Q24" s="91"/>
      <c r="R24" s="91"/>
      <c r="S24" s="91"/>
      <c r="T24" s="91"/>
      <c r="U24" s="91"/>
      <c r="V24" s="91"/>
      <c r="W24" s="94"/>
      <c r="X24" s="94"/>
      <c r="Y24" s="94"/>
      <c r="Z24" s="51"/>
      <c r="AB24" s="91"/>
      <c r="AC24" s="191" t="b">
        <f>+SUM(AC18:AC22)=G19</f>
        <v>1</v>
      </c>
      <c r="AD24" s="191" t="b">
        <f t="shared" ref="AD24:AP24" si="18">+SUM(AD18:AD22)=H19</f>
        <v>1</v>
      </c>
      <c r="AE24" s="191" t="b">
        <f t="shared" si="18"/>
        <v>1</v>
      </c>
      <c r="AF24" s="191" t="b">
        <f t="shared" si="18"/>
        <v>1</v>
      </c>
      <c r="AG24" s="95" t="b">
        <f t="shared" si="18"/>
        <v>1</v>
      </c>
      <c r="AH24" s="95" t="b">
        <f t="shared" si="18"/>
        <v>1</v>
      </c>
      <c r="AI24" s="257" t="b">
        <f t="shared" si="18"/>
        <v>1</v>
      </c>
      <c r="AJ24" s="95" t="b">
        <f t="shared" si="18"/>
        <v>1</v>
      </c>
      <c r="AK24" s="95" t="b">
        <f t="shared" si="18"/>
        <v>1</v>
      </c>
      <c r="AL24" s="95" t="b">
        <f t="shared" si="18"/>
        <v>1</v>
      </c>
      <c r="AM24" s="95" t="b">
        <f t="shared" si="18"/>
        <v>1</v>
      </c>
      <c r="AN24" s="95" t="b">
        <f t="shared" si="18"/>
        <v>1</v>
      </c>
      <c r="AO24" s="95" t="b">
        <f t="shared" si="18"/>
        <v>1</v>
      </c>
      <c r="AP24" s="95" t="b">
        <f t="shared" si="18"/>
        <v>1</v>
      </c>
      <c r="AQ24" s="95" t="b">
        <f>+SUM(AQ18:AQ22)=U19</f>
        <v>1</v>
      </c>
      <c r="AR24" s="95" t="b">
        <f>+SUM(AR18:AR22)=V19</f>
        <v>1</v>
      </c>
      <c r="AS24" s="96"/>
      <c r="AT24" s="96"/>
      <c r="AU24" s="32"/>
      <c r="AV24" s="32"/>
      <c r="AW24" s="32"/>
      <c r="BD24" s="32"/>
      <c r="BI24" s="88" t="s">
        <v>137</v>
      </c>
      <c r="BJ24" s="89">
        <f>+BJ22-'Servicios Deuda Anual'!$F$44</f>
        <v>0</v>
      </c>
    </row>
    <row r="25" spans="1:68" x14ac:dyDescent="0.25">
      <c r="A25" s="91" t="s">
        <v>164</v>
      </c>
      <c r="B25" s="240">
        <v>212.81056355716242</v>
      </c>
      <c r="C25" s="240">
        <v>12.703251589753044</v>
      </c>
      <c r="D25" s="92"/>
      <c r="E25" s="32"/>
      <c r="F25" s="32"/>
      <c r="G25" s="249">
        <f>+G20/G19</f>
        <v>0.49839014794218117</v>
      </c>
      <c r="H25" s="249">
        <f t="shared" ref="H25:I25" si="19">+H20/H19</f>
        <v>0.73768534719952827</v>
      </c>
      <c r="I25" s="249">
        <f t="shared" si="19"/>
        <v>0.66752452064239887</v>
      </c>
      <c r="J25" s="249">
        <f t="shared" ref="J25:V25" si="20">+J20/J19</f>
        <v>0.73487340745292551</v>
      </c>
      <c r="K25" s="249">
        <f t="shared" si="20"/>
        <v>0.65062905264080928</v>
      </c>
      <c r="L25" s="249">
        <f t="shared" si="20"/>
        <v>0.75789070607629583</v>
      </c>
      <c r="M25" s="249">
        <f t="shared" si="20"/>
        <v>0.81840344785041252</v>
      </c>
      <c r="N25" s="249">
        <f t="shared" si="20"/>
        <v>0.79655302252471227</v>
      </c>
      <c r="O25" s="249">
        <f t="shared" si="20"/>
        <v>0.85241274479157181</v>
      </c>
      <c r="P25" s="249">
        <f t="shared" si="20"/>
        <v>0.83955308667821693</v>
      </c>
      <c r="Q25" s="249">
        <f t="shared" si="20"/>
        <v>0.97550971855112734</v>
      </c>
      <c r="R25" s="249">
        <f t="shared" si="20"/>
        <v>0.88640125532467395</v>
      </c>
      <c r="S25" s="249">
        <f t="shared" si="20"/>
        <v>0.87941858585730037</v>
      </c>
      <c r="T25" s="249">
        <f t="shared" si="20"/>
        <v>0.89911659366407237</v>
      </c>
      <c r="U25" s="249">
        <f t="shared" si="20"/>
        <v>0.87386313400349536</v>
      </c>
      <c r="V25" s="249">
        <f t="shared" si="20"/>
        <v>0.81287274916723595</v>
      </c>
      <c r="W25" s="94"/>
      <c r="X25" s="94"/>
      <c r="Y25" s="94"/>
      <c r="Z25" s="51"/>
      <c r="AB25" s="91"/>
      <c r="AC25" s="95"/>
      <c r="AD25" s="95"/>
      <c r="AE25" s="95"/>
      <c r="AF25" s="95"/>
      <c r="AG25" s="95"/>
      <c r="AH25" s="95"/>
      <c r="AI25" s="95"/>
      <c r="AJ25" s="95"/>
      <c r="AK25" s="95"/>
      <c r="AL25" s="95"/>
      <c r="AM25" s="95"/>
      <c r="AN25" s="95"/>
      <c r="AO25" s="95"/>
      <c r="AP25" s="95"/>
      <c r="AQ25" s="95"/>
      <c r="AR25" s="96"/>
      <c r="AS25" s="96"/>
      <c r="AT25" s="96"/>
      <c r="AU25" s="32"/>
      <c r="AV25" s="32"/>
      <c r="AW25" s="32"/>
      <c r="BD25" s="32"/>
    </row>
    <row r="26" spans="1:68" x14ac:dyDescent="0.25">
      <c r="B26" s="92"/>
      <c r="C26" s="92"/>
      <c r="D26" s="92"/>
      <c r="E26" s="32"/>
      <c r="F26" s="32"/>
      <c r="G26" s="249">
        <f>+G21/G20</f>
        <v>1.0064602081901732</v>
      </c>
      <c r="H26" s="249">
        <f t="shared" ref="H26" si="21">+H21/H20</f>
        <v>0.35559151851978033</v>
      </c>
      <c r="I26" s="249">
        <f>+I21/I19</f>
        <v>0.33247547935760113</v>
      </c>
      <c r="J26" s="249">
        <f t="shared" ref="J26:V26" si="22">+J21/J19</f>
        <v>0.26512659254707455</v>
      </c>
      <c r="K26" s="249">
        <f t="shared" si="22"/>
        <v>0.34937094735919066</v>
      </c>
      <c r="L26" s="249">
        <f t="shared" si="22"/>
        <v>0.24210929392370409</v>
      </c>
      <c r="M26" s="249">
        <f t="shared" si="22"/>
        <v>0.18159655214958773</v>
      </c>
      <c r="N26" s="249">
        <f t="shared" si="22"/>
        <v>0.20344697747528778</v>
      </c>
      <c r="O26" s="249">
        <f t="shared" si="22"/>
        <v>0.14758725520842808</v>
      </c>
      <c r="P26" s="249">
        <f t="shared" si="22"/>
        <v>0.16044691332178299</v>
      </c>
      <c r="Q26" s="249">
        <f t="shared" si="22"/>
        <v>2.4490281448872622E-2</v>
      </c>
      <c r="R26" s="249">
        <f t="shared" si="22"/>
        <v>0.11359874467532603</v>
      </c>
      <c r="S26" s="249">
        <f t="shared" si="22"/>
        <v>0.12058141414269956</v>
      </c>
      <c r="T26" s="249">
        <f t="shared" si="22"/>
        <v>0.1008834063359276</v>
      </c>
      <c r="U26" s="249">
        <f t="shared" si="22"/>
        <v>0.12613686599650464</v>
      </c>
      <c r="V26" s="249">
        <f t="shared" si="22"/>
        <v>0.18712725083276394</v>
      </c>
      <c r="W26" s="94"/>
      <c r="X26" s="94"/>
      <c r="Y26" s="94"/>
      <c r="Z26" s="51"/>
      <c r="AB26" s="91"/>
      <c r="AC26" s="95"/>
      <c r="AD26" s="95"/>
      <c r="AE26" s="95"/>
      <c r="AF26" s="95"/>
      <c r="AG26" s="95"/>
      <c r="AH26" s="95"/>
      <c r="AI26" s="95"/>
      <c r="AJ26" s="95"/>
      <c r="AK26" s="95"/>
      <c r="AL26" s="95"/>
      <c r="AM26" s="95"/>
      <c r="AN26" s="95"/>
      <c r="AO26" s="95"/>
      <c r="AP26" s="95"/>
      <c r="AQ26" s="95"/>
      <c r="AR26" s="96"/>
      <c r="AS26" s="96"/>
      <c r="AT26" s="96"/>
      <c r="AU26" s="32"/>
      <c r="AV26" s="32"/>
      <c r="AW26" s="32"/>
      <c r="BD26" s="32"/>
    </row>
    <row r="27" spans="1:68" x14ac:dyDescent="0.25">
      <c r="B27" s="92"/>
      <c r="C27" s="92"/>
      <c r="D27" s="92"/>
      <c r="E27" s="32"/>
      <c r="F27" s="32"/>
      <c r="G27" s="91"/>
      <c r="H27" s="92"/>
      <c r="I27" s="92"/>
      <c r="J27" s="92"/>
      <c r="K27" s="92"/>
      <c r="L27" s="92"/>
      <c r="M27" s="92"/>
      <c r="N27" s="93"/>
      <c r="O27" s="93"/>
      <c r="P27" s="93"/>
      <c r="Q27" s="94"/>
      <c r="R27" s="94"/>
      <c r="S27" s="94"/>
      <c r="T27" s="94"/>
      <c r="U27" s="94"/>
      <c r="V27" s="94"/>
      <c r="W27" s="94"/>
      <c r="X27" s="94"/>
      <c r="Y27" s="94"/>
      <c r="Z27" s="51"/>
      <c r="AB27" s="91"/>
      <c r="AC27" s="95"/>
      <c r="AD27" s="95"/>
      <c r="AE27" s="95"/>
      <c r="AF27" s="95"/>
      <c r="AG27" s="95"/>
      <c r="AH27" s="95"/>
      <c r="AI27" s="95"/>
      <c r="AJ27" s="95"/>
      <c r="AK27" s="95"/>
      <c r="AL27" s="95"/>
      <c r="AM27" s="95"/>
      <c r="AN27" s="95"/>
      <c r="AO27" s="95"/>
      <c r="AP27" s="95"/>
      <c r="AQ27" s="95"/>
      <c r="AR27" s="96"/>
      <c r="AS27" s="96"/>
      <c r="AT27" s="96"/>
      <c r="AU27" s="32"/>
      <c r="AV27" s="32"/>
      <c r="AW27" s="32"/>
      <c r="BD27" s="32"/>
    </row>
    <row r="28" spans="1:68" x14ac:dyDescent="0.25">
      <c r="B28" s="92"/>
      <c r="C28" s="92"/>
      <c r="D28" s="92"/>
      <c r="E28" s="32"/>
      <c r="F28" s="32"/>
      <c r="G28" s="91"/>
      <c r="H28" s="92"/>
      <c r="I28" s="92"/>
      <c r="J28" s="92"/>
      <c r="K28" s="92"/>
      <c r="L28" s="92"/>
      <c r="M28" s="92"/>
      <c r="N28" s="93"/>
      <c r="O28" s="93"/>
      <c r="P28" s="93"/>
      <c r="Q28" s="94"/>
      <c r="R28" s="94"/>
      <c r="S28" s="94"/>
      <c r="T28" s="94"/>
      <c r="U28" s="94"/>
      <c r="V28" s="94"/>
      <c r="W28" s="94"/>
      <c r="X28" s="94"/>
      <c r="Y28" s="94"/>
      <c r="Z28" s="51"/>
      <c r="AB28" s="91"/>
      <c r="AC28" s="95"/>
      <c r="AD28" s="95"/>
      <c r="AE28" s="95"/>
      <c r="AF28" s="95"/>
      <c r="AG28" s="95"/>
      <c r="AH28" s="95"/>
      <c r="AI28" s="95"/>
      <c r="AJ28" s="95"/>
      <c r="AK28" s="95"/>
      <c r="AL28" s="95"/>
      <c r="AM28" s="95"/>
      <c r="AN28" s="95"/>
      <c r="AO28" s="95"/>
      <c r="AP28" s="95"/>
      <c r="AQ28" s="95"/>
      <c r="AR28" s="96"/>
      <c r="AS28" s="96"/>
      <c r="AT28" s="96"/>
      <c r="AU28" s="32"/>
      <c r="AV28" s="32"/>
    </row>
    <row r="29" spans="1:68" x14ac:dyDescent="0.25">
      <c r="B29" s="92"/>
      <c r="C29" s="92"/>
      <c r="D29" s="92"/>
      <c r="E29" s="32"/>
      <c r="F29" s="32"/>
      <c r="G29" s="91"/>
      <c r="H29" s="92"/>
      <c r="I29" s="92"/>
      <c r="J29" s="92"/>
      <c r="K29" s="92"/>
      <c r="L29" s="92"/>
      <c r="M29" s="92"/>
      <c r="N29" s="93"/>
      <c r="O29" s="93"/>
      <c r="P29" s="93"/>
      <c r="Q29" s="94"/>
      <c r="R29" s="94"/>
      <c r="S29" s="94"/>
      <c r="T29" s="94"/>
      <c r="U29" s="94"/>
      <c r="V29" s="94"/>
      <c r="W29" s="94"/>
      <c r="X29" s="94"/>
      <c r="Y29" s="94"/>
      <c r="Z29" s="51"/>
      <c r="AB29" s="91"/>
      <c r="AC29" s="95"/>
      <c r="AD29" s="95"/>
      <c r="AE29" s="95"/>
      <c r="AF29" s="95"/>
      <c r="AG29" s="95"/>
      <c r="AH29" s="95"/>
      <c r="AI29" s="95"/>
      <c r="AJ29" s="95"/>
      <c r="AK29" s="95"/>
      <c r="AL29" s="95"/>
      <c r="AM29" s="95"/>
      <c r="AN29" s="95"/>
      <c r="AO29" s="95"/>
      <c r="AP29" s="95"/>
      <c r="AQ29" s="95"/>
      <c r="AR29" s="96"/>
      <c r="AS29" s="96"/>
      <c r="AT29" s="96"/>
      <c r="AU29" s="32"/>
      <c r="AV29" s="32"/>
    </row>
    <row r="30" spans="1:68" x14ac:dyDescent="0.25">
      <c r="P30" s="250"/>
      <c r="Q30" s="251"/>
      <c r="R30" s="251"/>
      <c r="S30" s="251"/>
      <c r="T30" s="251"/>
      <c r="U30" s="251"/>
      <c r="V30" s="251"/>
      <c r="W30" s="94"/>
      <c r="X30" s="94"/>
      <c r="Y30" s="94"/>
      <c r="Z30" s="51"/>
      <c r="AB30" s="91"/>
      <c r="AC30" s="95"/>
      <c r="AD30" s="95"/>
      <c r="AE30" s="95"/>
      <c r="AF30" s="95"/>
      <c r="AG30" s="95"/>
      <c r="AH30" s="95"/>
      <c r="AI30" s="95"/>
      <c r="AJ30" s="95"/>
      <c r="AK30" s="95"/>
      <c r="AL30" s="95"/>
      <c r="AM30" s="95"/>
      <c r="AN30" s="95"/>
      <c r="AO30" s="95"/>
      <c r="AP30" s="95"/>
      <c r="AQ30" s="95"/>
      <c r="AR30" s="96"/>
      <c r="AS30" s="96"/>
      <c r="AT30" s="96"/>
      <c r="AU30" s="32"/>
      <c r="AV30" s="32"/>
    </row>
    <row r="31" spans="1:68" x14ac:dyDescent="0.25">
      <c r="B31" s="92"/>
      <c r="C31" s="92"/>
      <c r="D31" s="92"/>
      <c r="G31" s="252"/>
      <c r="H31" s="249"/>
      <c r="I31" s="249"/>
      <c r="J31" s="249"/>
      <c r="K31" s="249"/>
      <c r="L31" s="249"/>
      <c r="M31" s="249"/>
      <c r="N31" s="253"/>
      <c r="O31" s="253"/>
      <c r="P31" s="253"/>
      <c r="Q31" s="94"/>
      <c r="R31" s="94"/>
      <c r="S31" s="94"/>
      <c r="T31" s="94"/>
      <c r="U31" s="94"/>
      <c r="V31" s="94"/>
      <c r="W31" s="94"/>
      <c r="X31" s="94"/>
      <c r="Y31" s="94"/>
      <c r="Z31" s="51"/>
      <c r="AB31" s="91"/>
      <c r="AC31" s="95"/>
      <c r="AD31" s="95"/>
      <c r="AE31" s="95"/>
      <c r="AF31" s="95"/>
      <c r="AG31" s="95"/>
      <c r="AH31" s="95"/>
      <c r="AI31" s="95"/>
      <c r="AJ31" s="95"/>
      <c r="AK31" s="95"/>
      <c r="AL31" s="95"/>
      <c r="AM31" s="95"/>
      <c r="AN31" s="95"/>
      <c r="AO31" s="95"/>
      <c r="AP31" s="95"/>
      <c r="AQ31" s="95"/>
      <c r="AR31" s="96"/>
      <c r="AS31" s="96"/>
      <c r="AT31" s="96"/>
      <c r="AU31" s="32"/>
      <c r="AV31" s="32"/>
    </row>
    <row r="32" spans="1:68" x14ac:dyDescent="0.25">
      <c r="B32" s="92"/>
      <c r="C32" s="92"/>
      <c r="D32" s="92"/>
      <c r="G32" s="252"/>
      <c r="H32" s="249"/>
      <c r="I32" s="249"/>
      <c r="J32" s="249"/>
      <c r="K32" s="249"/>
      <c r="L32" s="249"/>
      <c r="M32" s="249"/>
      <c r="N32" s="253"/>
      <c r="O32" s="253"/>
      <c r="P32" s="253"/>
      <c r="Q32" s="94"/>
      <c r="R32" s="94"/>
      <c r="S32" s="94"/>
      <c r="T32" s="94"/>
      <c r="U32" s="94"/>
      <c r="V32" s="94"/>
      <c r="W32" s="94"/>
      <c r="X32" s="94"/>
      <c r="Y32" s="94"/>
      <c r="Z32" s="51"/>
      <c r="AB32" s="91"/>
      <c r="AC32" s="95"/>
      <c r="AD32" s="95"/>
      <c r="AE32" s="95"/>
      <c r="AF32" s="95"/>
      <c r="AG32" s="95"/>
      <c r="AH32" s="95"/>
      <c r="AI32" s="95"/>
      <c r="AJ32" s="95"/>
      <c r="AK32" s="95"/>
      <c r="AL32" s="95"/>
      <c r="AM32" s="95"/>
      <c r="AN32" s="95"/>
      <c r="AO32" s="95"/>
      <c r="AP32" s="95"/>
      <c r="AQ32" s="95"/>
      <c r="AR32" s="96"/>
      <c r="AS32" s="96"/>
      <c r="AT32" s="96"/>
      <c r="AU32" s="32"/>
      <c r="AV32" s="32"/>
    </row>
    <row r="33" spans="1:68" x14ac:dyDescent="0.25">
      <c r="B33" s="92"/>
      <c r="C33" s="92"/>
      <c r="D33" s="92"/>
      <c r="G33" s="91"/>
      <c r="H33" s="92"/>
      <c r="I33" s="92"/>
      <c r="J33" s="92"/>
      <c r="K33" s="92"/>
      <c r="L33" s="92"/>
      <c r="M33" s="92"/>
      <c r="N33" s="93"/>
      <c r="O33" s="93"/>
      <c r="P33" s="93"/>
      <c r="Q33" s="94"/>
      <c r="R33" s="94"/>
      <c r="S33" s="94"/>
      <c r="T33" s="94"/>
      <c r="U33" s="94"/>
      <c r="V33" s="94"/>
      <c r="W33" s="94"/>
      <c r="X33" s="94"/>
      <c r="Y33" s="94"/>
      <c r="Z33" s="51"/>
      <c r="AB33" s="91"/>
      <c r="AC33" s="95"/>
      <c r="AD33" s="95"/>
      <c r="AE33" s="95"/>
      <c r="AF33" s="95"/>
      <c r="AG33" s="95"/>
      <c r="AH33" s="95"/>
      <c r="AI33" s="95"/>
      <c r="AJ33" s="95"/>
      <c r="AK33" s="95"/>
      <c r="AL33" s="95"/>
      <c r="AM33" s="95"/>
      <c r="AN33" s="95"/>
      <c r="AO33" s="95"/>
      <c r="AP33" s="95"/>
      <c r="AQ33" s="95"/>
      <c r="AR33" s="96"/>
      <c r="AS33" s="96"/>
      <c r="AT33" s="96"/>
      <c r="AU33" s="32"/>
      <c r="AV33" s="32"/>
    </row>
    <row r="34" spans="1:68" x14ac:dyDescent="0.25">
      <c r="A34" s="91"/>
      <c r="B34" s="92"/>
      <c r="C34" s="92"/>
      <c r="D34" s="92"/>
      <c r="G34" s="91"/>
      <c r="H34" s="92"/>
      <c r="I34" s="92"/>
      <c r="J34" s="92"/>
      <c r="K34" s="92"/>
      <c r="L34" s="92"/>
      <c r="M34" s="92"/>
      <c r="N34" s="93"/>
      <c r="O34" s="93"/>
      <c r="P34" s="93"/>
      <c r="Q34" s="94"/>
      <c r="R34" s="94"/>
      <c r="S34" s="94"/>
      <c r="T34" s="94"/>
      <c r="U34" s="94"/>
      <c r="V34" s="94"/>
      <c r="W34" s="94"/>
      <c r="X34" s="94"/>
      <c r="Y34" s="94"/>
      <c r="Z34" s="51"/>
      <c r="AB34" s="91"/>
      <c r="AC34" s="95"/>
      <c r="AD34" s="95"/>
      <c r="AE34" s="95"/>
      <c r="AF34" s="95"/>
      <c r="AG34" s="95"/>
      <c r="AH34" s="95"/>
      <c r="AI34" s="95"/>
      <c r="AJ34" s="95"/>
      <c r="AK34" s="95"/>
      <c r="AL34" s="95"/>
      <c r="AM34" s="95"/>
      <c r="AN34" s="95"/>
      <c r="AO34" s="95"/>
      <c r="AP34" s="95"/>
      <c r="AQ34" s="95"/>
      <c r="AR34" s="96"/>
      <c r="AS34" s="96"/>
      <c r="AT34" s="96"/>
      <c r="AU34" s="32"/>
      <c r="AV34" s="32"/>
    </row>
    <row r="35" spans="1:68" x14ac:dyDescent="0.25">
      <c r="A35" s="91"/>
      <c r="B35" s="92"/>
      <c r="C35" s="92"/>
      <c r="D35" s="92"/>
      <c r="G35" s="91"/>
      <c r="H35" s="92"/>
      <c r="I35" s="92"/>
      <c r="J35" s="92"/>
      <c r="K35" s="92"/>
      <c r="L35" s="92"/>
      <c r="M35" s="92"/>
      <c r="N35" s="93"/>
      <c r="O35" s="93"/>
      <c r="P35" s="93"/>
      <c r="Q35" s="94"/>
      <c r="R35" s="94"/>
      <c r="S35" s="94"/>
      <c r="T35" s="94"/>
      <c r="U35" s="94"/>
      <c r="V35" s="94"/>
      <c r="W35" s="94"/>
      <c r="X35" s="94"/>
      <c r="Y35" s="94"/>
      <c r="Z35" s="51"/>
      <c r="AB35" s="91"/>
      <c r="AC35" s="95"/>
      <c r="AD35" s="95"/>
      <c r="AE35" s="95"/>
      <c r="AF35" s="95"/>
      <c r="AG35" s="95"/>
      <c r="AH35" s="95"/>
      <c r="AI35" s="95"/>
      <c r="AJ35" s="95"/>
      <c r="AK35" s="95"/>
      <c r="AL35" s="95"/>
      <c r="AM35" s="95"/>
      <c r="AN35" s="95"/>
      <c r="AO35" s="95"/>
      <c r="AP35" s="95"/>
      <c r="AQ35" s="95"/>
      <c r="AR35" s="96"/>
      <c r="AS35" s="96"/>
      <c r="AT35" s="96"/>
      <c r="AU35" s="32"/>
      <c r="AV35" s="32"/>
    </row>
    <row r="36" spans="1:68" x14ac:dyDescent="0.25">
      <c r="K36" s="249"/>
      <c r="L36" s="249"/>
    </row>
    <row r="37" spans="1:68" x14ac:dyDescent="0.25">
      <c r="H37" s="249"/>
      <c r="I37" s="249"/>
      <c r="J37" s="249"/>
      <c r="K37" s="249"/>
      <c r="L37" s="249"/>
      <c r="N37" s="249"/>
      <c r="O37" s="253"/>
      <c r="P37" s="253"/>
      <c r="Q37" s="94"/>
      <c r="R37" s="94"/>
      <c r="T37" s="94"/>
    </row>
    <row r="38" spans="1:68" x14ac:dyDescent="0.25">
      <c r="H38" s="249"/>
      <c r="I38" s="249"/>
      <c r="L38" s="253"/>
    </row>
    <row r="39" spans="1:68" x14ac:dyDescent="0.25">
      <c r="H39" s="249"/>
      <c r="I39" s="249"/>
      <c r="L39" s="94"/>
    </row>
    <row r="40" spans="1:68" ht="18" x14ac:dyDescent="0.25">
      <c r="H40" s="253"/>
      <c r="I40" s="253"/>
      <c r="L40" s="94"/>
      <c r="BP40" s="192" t="s">
        <v>213</v>
      </c>
    </row>
    <row r="41" spans="1:68" ht="15.75" x14ac:dyDescent="0.25">
      <c r="H41" s="253"/>
      <c r="I41" s="253"/>
      <c r="L41" s="94"/>
      <c r="BP41" s="193" t="s">
        <v>216</v>
      </c>
    </row>
    <row r="42" spans="1:68" ht="15.75" x14ac:dyDescent="0.25">
      <c r="H42" s="94"/>
      <c r="I42" s="94"/>
      <c r="BP42" s="193" t="s">
        <v>233</v>
      </c>
    </row>
    <row r="43" spans="1:68" x14ac:dyDescent="0.25">
      <c r="H43" s="94"/>
      <c r="I43" s="94"/>
    </row>
    <row r="44" spans="1:68" x14ac:dyDescent="0.25">
      <c r="H44" s="94"/>
      <c r="I44" s="94"/>
    </row>
    <row r="58" spans="61:68" ht="18" x14ac:dyDescent="0.25">
      <c r="BI58">
        <v>2023</v>
      </c>
      <c r="BJ58" s="259">
        <v>57379.118437812736</v>
      </c>
      <c r="BK58" s="260">
        <v>130.1440193267137</v>
      </c>
      <c r="BP58" s="192" t="s">
        <v>214</v>
      </c>
    </row>
    <row r="59" spans="61:68" ht="15.75" x14ac:dyDescent="0.25">
      <c r="BI59">
        <f t="shared" ref="BI59:BI64" si="23">+BI58+1</f>
        <v>2024</v>
      </c>
      <c r="BJ59" s="259">
        <v>54826.867208328862</v>
      </c>
      <c r="BK59" s="260">
        <v>130.71939450674998</v>
      </c>
      <c r="BP59" s="193" t="s">
        <v>215</v>
      </c>
    </row>
    <row r="60" spans="61:68" ht="15.75" x14ac:dyDescent="0.25">
      <c r="BI60">
        <f t="shared" si="23"/>
        <v>2025</v>
      </c>
      <c r="BJ60" s="259">
        <v>70628.112626046117</v>
      </c>
      <c r="BK60" s="260">
        <v>129.23331412624663</v>
      </c>
      <c r="BP60" s="193" t="s">
        <v>233</v>
      </c>
    </row>
    <row r="61" spans="61:68" x14ac:dyDescent="0.25">
      <c r="BI61">
        <f t="shared" si="23"/>
        <v>2026</v>
      </c>
      <c r="BJ61" s="259">
        <v>100781.22347882173</v>
      </c>
      <c r="BK61" s="260">
        <v>117.491488189704</v>
      </c>
    </row>
    <row r="62" spans="61:68" x14ac:dyDescent="0.25">
      <c r="BI62">
        <f t="shared" si="23"/>
        <v>2027</v>
      </c>
      <c r="BJ62" s="259">
        <v>19121.253800239192</v>
      </c>
      <c r="BK62" s="260">
        <v>111.47422789990381</v>
      </c>
    </row>
    <row r="63" spans="61:68" x14ac:dyDescent="0.25">
      <c r="BI63">
        <f t="shared" si="23"/>
        <v>2028</v>
      </c>
      <c r="BJ63" s="259">
        <v>7844.0208254031058</v>
      </c>
      <c r="BK63" s="260">
        <v>105.58295986861528</v>
      </c>
    </row>
    <row r="64" spans="61:68" x14ac:dyDescent="0.25">
      <c r="BI64">
        <f t="shared" si="23"/>
        <v>2029</v>
      </c>
      <c r="BJ64" s="259">
        <v>1150.1622998650691</v>
      </c>
      <c r="BK64" s="260">
        <v>59.771379347654303</v>
      </c>
    </row>
    <row r="65" spans="61:63" x14ac:dyDescent="0.25">
      <c r="BI65" t="s">
        <v>207</v>
      </c>
      <c r="BJ65" s="259">
        <v>212.81056355716242</v>
      </c>
      <c r="BK65" s="260">
        <v>12.703251589753044</v>
      </c>
    </row>
    <row r="94" spans="59:69" ht="18" x14ac:dyDescent="0.25">
      <c r="BI94" t="s">
        <v>184</v>
      </c>
      <c r="BJ94" t="s">
        <v>185</v>
      </c>
      <c r="BQ94" s="192" t="s">
        <v>236</v>
      </c>
    </row>
    <row r="95" spans="59:69" ht="18" x14ac:dyDescent="0.25">
      <c r="BG95" s="281">
        <v>2023</v>
      </c>
      <c r="BH95" s="282">
        <v>57379.118437812736</v>
      </c>
      <c r="BI95" s="283">
        <v>0.49839014794218117</v>
      </c>
      <c r="BJ95" s="283">
        <v>0.50160985205781883</v>
      </c>
      <c r="BQ95" s="192" t="s">
        <v>237</v>
      </c>
    </row>
    <row r="96" spans="59:69" ht="15.75" x14ac:dyDescent="0.25">
      <c r="BG96" s="281">
        <f t="shared" ref="BG96:BG101" si="24">+BG95+1</f>
        <v>2024</v>
      </c>
      <c r="BH96" s="282">
        <v>54826.867208328862</v>
      </c>
      <c r="BI96" s="283">
        <v>0.66752452064239887</v>
      </c>
      <c r="BJ96" s="283">
        <v>0.33247547935760113</v>
      </c>
      <c r="BQ96" s="193" t="s">
        <v>219</v>
      </c>
    </row>
    <row r="97" spans="56:72" ht="15.75" x14ac:dyDescent="0.25">
      <c r="BG97">
        <f t="shared" si="24"/>
        <v>2025</v>
      </c>
      <c r="BH97" s="259">
        <v>70628.112626046117</v>
      </c>
      <c r="BI97" s="249">
        <v>0.65062905264080928</v>
      </c>
      <c r="BJ97" s="249">
        <v>0.34937094735919072</v>
      </c>
      <c r="BQ97" s="193" t="s">
        <v>238</v>
      </c>
    </row>
    <row r="98" spans="56:72" x14ac:dyDescent="0.25">
      <c r="BG98">
        <f t="shared" si="24"/>
        <v>2026</v>
      </c>
      <c r="BH98" s="259">
        <v>100781.22347882173</v>
      </c>
      <c r="BI98" s="249">
        <v>0.81840344785041241</v>
      </c>
      <c r="BJ98" s="249">
        <v>0.18159655214958759</v>
      </c>
    </row>
    <row r="99" spans="56:72" x14ac:dyDescent="0.25">
      <c r="BG99">
        <f t="shared" si="24"/>
        <v>2027</v>
      </c>
      <c r="BH99" s="259">
        <v>19121.253800239192</v>
      </c>
      <c r="BI99" s="249">
        <v>0.85241274479157203</v>
      </c>
      <c r="BJ99" s="249">
        <v>0.14758725520842797</v>
      </c>
    </row>
    <row r="100" spans="56:72" x14ac:dyDescent="0.25">
      <c r="BG100">
        <f t="shared" si="24"/>
        <v>2028</v>
      </c>
      <c r="BH100" s="259">
        <v>7844.0208254031058</v>
      </c>
      <c r="BI100" s="249">
        <v>0.97550971855112734</v>
      </c>
      <c r="BJ100" s="249">
        <v>2.4490281448872664E-2</v>
      </c>
    </row>
    <row r="101" spans="56:72" x14ac:dyDescent="0.25">
      <c r="BG101">
        <f t="shared" si="24"/>
        <v>2029</v>
      </c>
      <c r="BH101" s="259">
        <v>1150.1622998650691</v>
      </c>
      <c r="BI101" s="249">
        <v>0.87941858585730037</v>
      </c>
      <c r="BJ101" s="249">
        <v>0.12058141414269963</v>
      </c>
    </row>
    <row r="102" spans="56:72" x14ac:dyDescent="0.25">
      <c r="BG102" t="s">
        <v>207</v>
      </c>
      <c r="BH102" s="259">
        <v>212.81056355716242</v>
      </c>
      <c r="BI102" s="249">
        <v>0.87386313400349536</v>
      </c>
      <c r="BJ102" s="249">
        <v>0.12613686599650464</v>
      </c>
    </row>
    <row r="107" spans="56:72" x14ac:dyDescent="0.25">
      <c r="BD107" s="249">
        <v>0.66752452064239887</v>
      </c>
      <c r="BE107" s="249">
        <v>0.65997268450951374</v>
      </c>
      <c r="BF107" s="249">
        <v>0.81842103879451567</v>
      </c>
      <c r="BG107" s="249">
        <v>0.85249543926633675</v>
      </c>
      <c r="BH107" s="249">
        <v>0.97579603599022624</v>
      </c>
      <c r="BI107" s="249">
        <v>0.88017165089034999</v>
      </c>
      <c r="BJ107" s="249">
        <v>0.87262417975149487</v>
      </c>
    </row>
    <row r="108" spans="56:72" x14ac:dyDescent="0.25">
      <c r="BD108" s="249">
        <v>0.33247547935760113</v>
      </c>
      <c r="BE108" s="249">
        <v>0.3400273154904862</v>
      </c>
      <c r="BF108" s="249">
        <v>0.18157896120548467</v>
      </c>
      <c r="BG108" s="249">
        <v>0.14750456073366305</v>
      </c>
      <c r="BH108" s="249">
        <v>2.420396400977369E-2</v>
      </c>
      <c r="BI108" s="249">
        <v>0.11982834910964996</v>
      </c>
      <c r="BJ108" s="249">
        <v>0.12737582024850511</v>
      </c>
    </row>
    <row r="112" spans="56:72" ht="18" x14ac:dyDescent="0.25">
      <c r="BT112" s="192" t="s">
        <v>217</v>
      </c>
    </row>
    <row r="113" spans="67:72" ht="15.75" x14ac:dyDescent="0.25">
      <c r="BP113" t="s">
        <v>165</v>
      </c>
      <c r="BQ113" t="s">
        <v>186</v>
      </c>
      <c r="BT113" s="193" t="s">
        <v>218</v>
      </c>
    </row>
    <row r="114" spans="67:72" ht="15.75" x14ac:dyDescent="0.25">
      <c r="BO114" s="262">
        <v>130.1440193267137</v>
      </c>
      <c r="BP114" s="261">
        <v>0.73768534719952827</v>
      </c>
      <c r="BQ114" s="261">
        <v>0.26231465280047161</v>
      </c>
      <c r="BT114" s="193" t="s">
        <v>238</v>
      </c>
    </row>
    <row r="115" spans="67:72" x14ac:dyDescent="0.25">
      <c r="BO115" s="262">
        <v>130.71939450674998</v>
      </c>
      <c r="BP115" s="261">
        <v>0.73487340745292551</v>
      </c>
      <c r="BQ115" s="261">
        <v>0.26512659254707455</v>
      </c>
    </row>
    <row r="116" spans="67:72" x14ac:dyDescent="0.25">
      <c r="BO116" s="262">
        <v>129.23331412624663</v>
      </c>
      <c r="BP116" s="249">
        <v>0.75789070607629583</v>
      </c>
      <c r="BQ116" s="249">
        <v>0.24210929392370417</v>
      </c>
    </row>
    <row r="117" spans="67:72" x14ac:dyDescent="0.25">
      <c r="BO117" s="262">
        <v>117.491488189704</v>
      </c>
      <c r="BP117" s="249">
        <v>0.79655302252471216</v>
      </c>
      <c r="BQ117" s="249">
        <v>0.20344697747528784</v>
      </c>
    </row>
    <row r="118" spans="67:72" x14ac:dyDescent="0.25">
      <c r="BO118" s="262">
        <v>111.47422789990381</v>
      </c>
      <c r="BP118" s="249">
        <v>0.83955308667821693</v>
      </c>
      <c r="BQ118" s="249">
        <v>0.16044691332178307</v>
      </c>
    </row>
    <row r="119" spans="67:72" x14ac:dyDescent="0.25">
      <c r="BO119" s="262">
        <v>105.58295986861528</v>
      </c>
      <c r="BP119" s="249">
        <v>0.88640125532467395</v>
      </c>
      <c r="BQ119" s="249">
        <v>0.11359874467532605</v>
      </c>
    </row>
    <row r="120" spans="67:72" x14ac:dyDescent="0.25">
      <c r="BO120" s="262">
        <v>59.771379347654303</v>
      </c>
      <c r="BP120" s="249">
        <v>0.89911659366407237</v>
      </c>
      <c r="BQ120" s="249">
        <v>0.10088340633592763</v>
      </c>
    </row>
    <row r="121" spans="67:72" x14ac:dyDescent="0.25">
      <c r="BO121" s="262">
        <v>12.703251589753044</v>
      </c>
      <c r="BP121" s="249">
        <v>0.81287274916723595</v>
      </c>
      <c r="BQ121" s="249">
        <v>0.18712725083276405</v>
      </c>
    </row>
    <row r="122" spans="67:72" x14ac:dyDescent="0.25">
      <c r="BP122" s="111"/>
      <c r="BQ122" s="111"/>
    </row>
    <row r="132" spans="66:72" x14ac:dyDescent="0.25">
      <c r="BN132" s="249">
        <v>0.73487340745292551</v>
      </c>
      <c r="BO132" s="249">
        <v>0.75669093927625597</v>
      </c>
      <c r="BP132" s="249">
        <v>0.79655302252682747</v>
      </c>
      <c r="BQ132" s="249">
        <v>0.83955308668027906</v>
      </c>
      <c r="BR132" s="249">
        <v>0.88640125532666947</v>
      </c>
      <c r="BS132" s="249">
        <v>0.89911659366598906</v>
      </c>
      <c r="BT132" s="249">
        <v>0.81287274916011132</v>
      </c>
    </row>
    <row r="133" spans="66:72" x14ac:dyDescent="0.25">
      <c r="BN133" s="249">
        <v>0.26512659254707455</v>
      </c>
      <c r="BO133" s="249">
        <v>0.24330906072374414</v>
      </c>
      <c r="BP133" s="249">
        <v>0.20344697747317264</v>
      </c>
      <c r="BQ133" s="249">
        <v>0.160446913319721</v>
      </c>
      <c r="BR133" s="249">
        <v>0.11359874467333057</v>
      </c>
      <c r="BS133" s="249">
        <v>0.10088340633401095</v>
      </c>
      <c r="BT133" s="249">
        <v>0.18712725083988874</v>
      </c>
    </row>
    <row r="149" spans="67:72" ht="18" x14ac:dyDescent="0.25">
      <c r="BQ149" s="192" t="s">
        <v>221</v>
      </c>
    </row>
    <row r="150" spans="67:72" ht="15.75" x14ac:dyDescent="0.25">
      <c r="BQ150" s="193" t="s">
        <v>216</v>
      </c>
    </row>
    <row r="151" spans="67:72" ht="15.75" x14ac:dyDescent="0.25">
      <c r="BO151" s="262">
        <v>57379.118437812736</v>
      </c>
      <c r="BQ151" s="193" t="s">
        <v>233</v>
      </c>
    </row>
    <row r="152" spans="67:72" x14ac:dyDescent="0.25">
      <c r="BO152" s="262">
        <v>54826.867208328862</v>
      </c>
    </row>
    <row r="153" spans="67:72" x14ac:dyDescent="0.25">
      <c r="BO153" s="262">
        <v>70628.112626046117</v>
      </c>
    </row>
    <row r="154" spans="67:72" x14ac:dyDescent="0.25">
      <c r="BO154" s="262">
        <v>100781.22347882173</v>
      </c>
      <c r="BS154" s="128">
        <v>57379.118437812736</v>
      </c>
      <c r="BT154" s="128">
        <v>130.1440193267137</v>
      </c>
    </row>
    <row r="155" spans="67:72" x14ac:dyDescent="0.25">
      <c r="BO155" s="262">
        <v>19121.253800239192</v>
      </c>
      <c r="BS155" s="128">
        <v>54826.867208328862</v>
      </c>
      <c r="BT155" s="128">
        <v>130.71939450674998</v>
      </c>
    </row>
    <row r="156" spans="67:72" x14ac:dyDescent="0.25">
      <c r="BO156" s="262">
        <v>7844.0208254031058</v>
      </c>
      <c r="BS156" s="240">
        <v>70628.112626046117</v>
      </c>
      <c r="BT156" s="240">
        <v>129.23331412624663</v>
      </c>
    </row>
    <row r="157" spans="67:72" x14ac:dyDescent="0.25">
      <c r="BO157" s="262">
        <v>1150.1622998650691</v>
      </c>
      <c r="BS157" s="240">
        <v>100781.22347882173</v>
      </c>
      <c r="BT157" s="240">
        <v>117.491488189704</v>
      </c>
    </row>
    <row r="158" spans="67:72" x14ac:dyDescent="0.25">
      <c r="BO158" s="262">
        <v>212.81056355716242</v>
      </c>
      <c r="BS158" s="240">
        <v>19121.253800239192</v>
      </c>
      <c r="BT158" s="240">
        <v>111.47422789990381</v>
      </c>
    </row>
    <row r="159" spans="67:72" x14ac:dyDescent="0.25">
      <c r="BS159" s="240">
        <v>7844.0208254031058</v>
      </c>
      <c r="BT159" s="240">
        <v>105.58295986861528</v>
      </c>
    </row>
    <row r="160" spans="67:72" x14ac:dyDescent="0.25">
      <c r="BS160" s="240">
        <v>1150.1622998650691</v>
      </c>
      <c r="BT160" s="240">
        <v>59.771379347654303</v>
      </c>
    </row>
    <row r="161" spans="67:72" x14ac:dyDescent="0.25">
      <c r="BS161" s="240">
        <v>212.81056355716242</v>
      </c>
      <c r="BT161" s="240">
        <v>12.703251589753044</v>
      </c>
    </row>
    <row r="167" spans="67:72" ht="18" x14ac:dyDescent="0.25">
      <c r="BO167" s="262">
        <v>130.1440193267137</v>
      </c>
      <c r="BQ167" s="192" t="s">
        <v>222</v>
      </c>
    </row>
    <row r="168" spans="67:72" ht="15.75" x14ac:dyDescent="0.25">
      <c r="BO168" s="262">
        <v>130.71939450674998</v>
      </c>
      <c r="BQ168" s="193" t="s">
        <v>215</v>
      </c>
    </row>
    <row r="169" spans="67:72" ht="15.75" x14ac:dyDescent="0.25">
      <c r="BO169" s="262">
        <v>129.23331412624663</v>
      </c>
      <c r="BQ169" s="193" t="s">
        <v>233</v>
      </c>
    </row>
    <row r="170" spans="67:72" x14ac:dyDescent="0.25">
      <c r="BO170" s="262">
        <v>117.491488189704</v>
      </c>
    </row>
    <row r="171" spans="67:72" x14ac:dyDescent="0.25">
      <c r="BO171" s="262">
        <v>111.47422789990381</v>
      </c>
    </row>
    <row r="172" spans="67:72" x14ac:dyDescent="0.25">
      <c r="BO172" s="262">
        <v>105.58295986861528</v>
      </c>
    </row>
    <row r="173" spans="67:72" x14ac:dyDescent="0.25">
      <c r="BO173" s="262">
        <v>59.771379347654303</v>
      </c>
    </row>
    <row r="174" spans="67:72" x14ac:dyDescent="0.25">
      <c r="BO174" s="262">
        <v>12.703251589753044</v>
      </c>
    </row>
  </sheetData>
  <mergeCells count="10">
    <mergeCell ref="BT3:BV3"/>
    <mergeCell ref="H2:J2"/>
    <mergeCell ref="K2:M2"/>
    <mergeCell ref="N2:P2"/>
    <mergeCell ref="G2:G3"/>
    <mergeCell ref="AR2:AT2"/>
    <mergeCell ref="AB2:AB3"/>
    <mergeCell ref="Q2:S2"/>
    <mergeCell ref="T2:V2"/>
    <mergeCell ref="W2:Y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Servicios Deuda Anual</vt:lpstr>
      <vt:lpstr>Perfil Int Mensual</vt:lpstr>
      <vt:lpstr>Perfil Amort Mensual</vt:lpstr>
      <vt:lpstr>Gráficos</vt:lpstr>
      <vt:lpstr>Gráficos_2</vt:lpstr>
      <vt:lpstr>Ratios 2025</vt:lpstr>
      <vt:lpstr>Avales</vt:lpstr>
      <vt:lpstr>Evolución Deuda Total</vt:lpstr>
      <vt:lpstr>Base Graf</vt:lpstr>
      <vt:lpstr>IPC</vt:lpstr>
      <vt:lpstr>PBG</vt:lpstr>
      <vt:lpstr>Acreedor_pesos</vt:lpstr>
      <vt:lpstr>Acreedor_USD</vt:lpstr>
      <vt:lpstr>Acreedor_UVA</vt:lpstr>
      <vt:lpstr>Por_moneda</vt:lpstr>
      <vt:lpstr>Por_tasa_int</vt:lpstr>
      <vt:lpstr>Servicio_pesos</vt:lpstr>
      <vt:lpstr>Servicio_USD</vt:lpstr>
      <vt:lpstr>Servicio_UVA</vt:lpstr>
      <vt:lpstr>Vto_en_pesos</vt:lpstr>
      <vt:lpstr>Vto_en_USD</vt:lpstr>
      <vt:lpstr>Vto_en_UVA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Alvaro Chaves</cp:lastModifiedBy>
  <dcterms:created xsi:type="dcterms:W3CDTF">2020-03-11T14:25:05Z</dcterms:created>
  <dcterms:modified xsi:type="dcterms:W3CDTF">2025-05-28T15:11:14Z</dcterms:modified>
</cp:coreProperties>
</file>